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Co-adshare\share\Share\OA\Oact\PUBLIC\508 &amp; Drupal (PCDAG)\CY2026\MOOP and Cost Sharing Calculations\April\Final - To Post\XSLX\"/>
    </mc:Choice>
  </mc:AlternateContent>
  <xr:revisionPtr revIDLastSave="0" documentId="13_ncr:1_{DECBB202-7EB1-423B-9634-79937D17FC56}" xr6:coauthVersionLast="47" xr6:coauthVersionMax="47" xr10:uidLastSave="{00000000-0000-0000-0000-000000000000}"/>
  <bookViews>
    <workbookView xWindow="-120" yWindow="-120" windowWidth="29040" windowHeight="15720" tabRatio="799" xr2:uid="{00000000-000D-0000-FFFF-FFFF00000000}"/>
  </bookViews>
  <sheets>
    <sheet name="MOOP Limits" sheetId="73" r:id="rId1"/>
    <sheet name="Inpatient Hospital Acute" sheetId="78" r:id="rId2"/>
    <sheet name="Inpatient Hospital Psychiatric" sheetId="77" r:id="rId3"/>
    <sheet name="Skilled Nursing Facility" sheetId="52" r:id="rId4"/>
    <sheet name="Cardiac Rehabilitation Services" sheetId="8" r:id="rId5"/>
    <sheet name="Intensive Cardiac Rehabilitatio" sheetId="49" r:id="rId6"/>
    <sheet name="Pulmonary Rehabilitation Servic" sheetId="50" r:id="rId7"/>
    <sheet name="SET for PAD" sheetId="51" r:id="rId8"/>
    <sheet name="Emergency Services" sheetId="9" r:id="rId9"/>
    <sheet name="Urgently Needed Services" sheetId="79" r:id="rId10"/>
    <sheet name="Partial Hospitalization" sheetId="80" r:id="rId11"/>
    <sheet name="Intensive Outpatient Services" sheetId="98" r:id="rId12"/>
    <sheet name="Home Health" sheetId="81" r:id="rId13"/>
    <sheet name="Primary Care Physician" sheetId="82" r:id="rId14"/>
    <sheet name="Chiropractic Care" sheetId="83" r:id="rId15"/>
    <sheet name="Occupational Therapy" sheetId="84" r:id="rId16"/>
    <sheet name="Physician Specialist" sheetId="85" r:id="rId17"/>
    <sheet name="Mental Health Specialty Service" sheetId="86" r:id="rId18"/>
    <sheet name="Psychiatric Services" sheetId="87" r:id="rId19"/>
    <sheet name="PT &amp; Speech-language Pathology" sheetId="88" r:id="rId20"/>
    <sheet name="Therapeutic Radiological Serv" sheetId="89" r:id="rId21"/>
    <sheet name="DME Diabetic Shoes or Inserts" sheetId="97" r:id="rId22"/>
    <sheet name="Dialysis Services" sheetId="92" r:id="rId23"/>
    <sheet name="Part B Drugs-Insulin" sheetId="96" r:id="rId24"/>
    <sheet name="Part B-Chemo Radiation Drugs" sheetId="93" r:id="rId25"/>
    <sheet name="Part B Drugs-Other" sheetId="95" r:id="rId2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 i="79" l="1"/>
  <c r="E6" i="86"/>
  <c r="E8" i="86" s="1"/>
  <c r="E7" i="86"/>
  <c r="D8" i="86"/>
  <c r="D7" i="86"/>
  <c r="D6" i="86"/>
  <c r="C8" i="86"/>
  <c r="F5" i="97"/>
  <c r="F6" i="97"/>
  <c r="F7" i="97"/>
  <c r="F8" i="97"/>
  <c r="D13" i="97"/>
  <c r="E8" i="97" s="1"/>
  <c r="G8" i="97" s="1"/>
  <c r="E5" i="98"/>
  <c r="D5" i="98"/>
  <c r="C5" i="98"/>
  <c r="C15" i="78"/>
  <c r="C42" i="73"/>
  <c r="D42" i="73"/>
  <c r="E42" i="73"/>
  <c r="E35" i="73"/>
  <c r="D35" i="73"/>
  <c r="C35" i="73"/>
  <c r="D16" i="78"/>
  <c r="E6" i="97" l="1"/>
  <c r="G6" i="97" s="1"/>
  <c r="E7" i="97"/>
  <c r="G7" i="97" s="1"/>
  <c r="E5" i="97"/>
  <c r="G5" i="97" s="1"/>
  <c r="D40" i="73"/>
  <c r="E40" i="73"/>
  <c r="C40" i="73"/>
  <c r="F9" i="97"/>
  <c r="C13" i="97" l="1"/>
  <c r="F12" i="97"/>
  <c r="F11" i="97"/>
  <c r="F10" i="97"/>
  <c r="F4" i="97"/>
  <c r="F3" i="97"/>
  <c r="E11" i="97" l="1"/>
  <c r="G11" i="97" s="1"/>
  <c r="E9" i="97"/>
  <c r="G9" i="97" s="1"/>
  <c r="F13" i="97"/>
  <c r="E3" i="97"/>
  <c r="E10" i="97"/>
  <c r="G10" i="97" s="1"/>
  <c r="E12" i="97"/>
  <c r="G12" i="97" s="1"/>
  <c r="E4" i="97"/>
  <c r="G4" i="97" s="1"/>
  <c r="G3" i="97" l="1"/>
  <c r="E13" i="97"/>
  <c r="G13" i="97" l="1"/>
  <c r="C28" i="97" l="1"/>
  <c r="C30" i="97" s="1"/>
  <c r="C19" i="97"/>
  <c r="C21" i="97" s="1"/>
  <c r="C8" i="95" l="1"/>
  <c r="C10" i="95" s="1"/>
  <c r="C8" i="93"/>
  <c r="C10" i="93" s="1"/>
  <c r="C9" i="89" l="1"/>
  <c r="E26" i="73" l="1"/>
  <c r="C5" i="92" l="1"/>
  <c r="C11" i="89" l="1"/>
  <c r="C5" i="88"/>
  <c r="D3" i="88" s="1"/>
  <c r="C4" i="87"/>
  <c r="D4" i="86"/>
  <c r="E4" i="86" s="1"/>
  <c r="C7" i="85"/>
  <c r="D4" i="85" s="1"/>
  <c r="E4" i="85" s="1"/>
  <c r="C4" i="84"/>
  <c r="D3" i="84" s="1"/>
  <c r="D4" i="88" l="1"/>
  <c r="E4" i="88" s="1"/>
  <c r="E3" i="88"/>
  <c r="D3" i="87"/>
  <c r="E3" i="87" s="1"/>
  <c r="D3" i="86"/>
  <c r="D5" i="86"/>
  <c r="E5" i="86" s="1"/>
  <c r="D6" i="85"/>
  <c r="E6" i="85" s="1"/>
  <c r="D5" i="85"/>
  <c r="E5" i="85" s="1"/>
  <c r="D3" i="85"/>
  <c r="E3" i="85" s="1"/>
  <c r="E3" i="84"/>
  <c r="E4" i="84" s="1"/>
  <c r="C9" i="84" s="1"/>
  <c r="D4" i="84"/>
  <c r="E11" i="84" l="1"/>
  <c r="C11" i="84"/>
  <c r="D11" i="84"/>
  <c r="E3" i="86"/>
  <c r="C14" i="86" s="1"/>
  <c r="E7" i="85"/>
  <c r="C12" i="85" s="1"/>
  <c r="E5" i="88"/>
  <c r="C10" i="88" s="1"/>
  <c r="D5" i="88"/>
  <c r="E4" i="87"/>
  <c r="C9" i="87" s="1"/>
  <c r="D4" i="87"/>
  <c r="D7" i="85"/>
  <c r="D11" i="87" l="1"/>
  <c r="C11" i="87"/>
  <c r="E11" i="87"/>
  <c r="E12" i="88"/>
  <c r="D12" i="88"/>
  <c r="C12" i="88"/>
  <c r="D14" i="85"/>
  <c r="C14" i="85"/>
  <c r="E14" i="85"/>
  <c r="E16" i="86"/>
  <c r="D16" i="86"/>
  <c r="C16" i="86"/>
  <c r="C4" i="83"/>
  <c r="D3" i="83" l="1"/>
  <c r="C7" i="82"/>
  <c r="D5" i="82" s="1"/>
  <c r="E5" i="82" s="1"/>
  <c r="D4" i="83" l="1"/>
  <c r="E3" i="83"/>
  <c r="E4" i="83" s="1"/>
  <c r="C9" i="83" s="1"/>
  <c r="D6" i="82"/>
  <c r="E6" i="82" s="1"/>
  <c r="D3" i="82"/>
  <c r="D4" i="82"/>
  <c r="E4" i="82" s="1"/>
  <c r="C5" i="81"/>
  <c r="E5" i="80"/>
  <c r="D5" i="80"/>
  <c r="C5" i="80"/>
  <c r="C11" i="83" l="1"/>
  <c r="E11" i="83"/>
  <c r="D11" i="83"/>
  <c r="D7" i="82"/>
  <c r="E3" i="82"/>
  <c r="E7" i="82" s="1"/>
  <c r="C12" i="82" s="1"/>
  <c r="E11" i="79"/>
  <c r="D11" i="79"/>
  <c r="C11" i="79"/>
  <c r="C14" i="82" l="1"/>
  <c r="E14" i="82"/>
  <c r="D14" i="82"/>
  <c r="E5" i="51"/>
  <c r="D5" i="51"/>
  <c r="C5" i="51"/>
  <c r="E5" i="50"/>
  <c r="D5" i="50"/>
  <c r="C5" i="50"/>
  <c r="E5" i="49"/>
  <c r="D5" i="49"/>
  <c r="C5" i="49"/>
  <c r="E5" i="8"/>
  <c r="D5" i="8"/>
  <c r="C5" i="8"/>
  <c r="C34" i="77"/>
  <c r="C34" i="78"/>
  <c r="C18" i="77"/>
  <c r="C25" i="77"/>
  <c r="C25" i="78"/>
  <c r="F26" i="78" s="1"/>
  <c r="C18" i="78"/>
  <c r="E39" i="73"/>
  <c r="C39" i="73"/>
  <c r="E41" i="73"/>
  <c r="C41" i="73"/>
  <c r="D8" i="73"/>
  <c r="D4" i="73"/>
  <c r="D6" i="73" s="1"/>
  <c r="C14" i="73" s="1"/>
  <c r="C9" i="52"/>
  <c r="E23" i="73" l="1"/>
  <c r="E24" i="73" s="1"/>
  <c r="F16" i="78"/>
  <c r="E16" i="78"/>
  <c r="C16" i="78"/>
  <c r="E16" i="77"/>
  <c r="D16" i="77"/>
  <c r="C16" i="77"/>
  <c r="C15" i="77"/>
  <c r="D41" i="73"/>
  <c r="D26" i="73"/>
  <c r="C18" i="73"/>
  <c r="C4" i="73"/>
  <c r="C6" i="73" s="1"/>
  <c r="C23" i="73" s="1"/>
  <c r="C24" i="73" s="1"/>
  <c r="E17" i="78" l="1"/>
  <c r="E19" i="78" s="1"/>
  <c r="E31" i="78" s="1"/>
  <c r="F17" i="78"/>
  <c r="D17" i="78"/>
  <c r="D19" i="78" s="1"/>
  <c r="C17" i="78"/>
  <c r="C17" i="77"/>
  <c r="D17" i="77"/>
  <c r="D19" i="77" s="1"/>
  <c r="E17" i="77"/>
  <c r="E19" i="77" s="1"/>
  <c r="E24" i="78" l="1"/>
  <c r="E26" i="78" s="1"/>
  <c r="E32" i="78" s="1"/>
  <c r="E33" i="78" s="1"/>
  <c r="E35" i="78" s="1"/>
  <c r="C19" i="78"/>
  <c r="C31" i="78" s="1"/>
  <c r="D31" i="78"/>
  <c r="F24" i="78"/>
  <c r="F32" i="78" s="1"/>
  <c r="F19" i="78"/>
  <c r="F31" i="78" s="1"/>
  <c r="D24" i="78"/>
  <c r="C24" i="78"/>
  <c r="C26" i="78" s="1"/>
  <c r="C32" i="78" s="1"/>
  <c r="C19" i="77"/>
  <c r="C31" i="77" s="1"/>
  <c r="C24" i="77"/>
  <c r="D31" i="77"/>
  <c r="D24" i="77"/>
  <c r="E31" i="77"/>
  <c r="E24" i="77"/>
  <c r="C15" i="73"/>
  <c r="C16" i="73" s="1"/>
  <c r="D23" i="73" s="1"/>
  <c r="D24" i="73" s="1"/>
  <c r="F33" i="78" l="1"/>
  <c r="F35" i="78" s="1"/>
  <c r="C26" i="77"/>
  <c r="C32" i="77" s="1"/>
  <c r="C33" i="77" s="1"/>
  <c r="C35" i="77" s="1"/>
  <c r="E26" i="77"/>
  <c r="E32" i="77" s="1"/>
  <c r="E33" i="77" s="1"/>
  <c r="E35" i="77" s="1"/>
  <c r="D26" i="77"/>
  <c r="D32" i="77" s="1"/>
  <c r="D33" i="77" s="1"/>
  <c r="D35" i="77" s="1"/>
  <c r="C33" i="78"/>
  <c r="C35" i="78" s="1"/>
  <c r="D26" i="78"/>
  <c r="D32" i="78" s="1"/>
  <c r="D33" i="78" s="1"/>
  <c r="D35" i="78" s="1"/>
</calcChain>
</file>

<file path=xl/sharedStrings.xml><?xml version="1.0" encoding="utf-8"?>
<sst xmlns="http://schemas.openxmlformats.org/spreadsheetml/2006/main" count="735" uniqueCount="288">
  <si>
    <t xml:space="preserve"> </t>
  </si>
  <si>
    <t>N/A</t>
  </si>
  <si>
    <t>Mandatory MOOP</t>
  </si>
  <si>
    <t>Intermediate MOOP</t>
  </si>
  <si>
    <t>Lower MOOP</t>
  </si>
  <si>
    <t xml:space="preserve">Family Practice </t>
  </si>
  <si>
    <t>General Practice</t>
  </si>
  <si>
    <t xml:space="preserve">Internal Medicine </t>
  </si>
  <si>
    <t>Geriatric Medicine</t>
  </si>
  <si>
    <t xml:space="preserve">Cardiology </t>
  </si>
  <si>
    <t>Gastroenterology</t>
  </si>
  <si>
    <t xml:space="preserve">Nephrology </t>
  </si>
  <si>
    <t>ENT (Otolaryngology)</t>
  </si>
  <si>
    <t xml:space="preserve">Clinical Psychologist </t>
  </si>
  <si>
    <t>Licensed Clinical Social Worker</t>
  </si>
  <si>
    <t xml:space="preserve">Psychiatry </t>
  </si>
  <si>
    <t>Physical Medicine and Rehabilitation</t>
  </si>
  <si>
    <t>Speech-language pathologists</t>
  </si>
  <si>
    <t>Total</t>
  </si>
  <si>
    <t>Weighted Average</t>
  </si>
  <si>
    <t>HCPCS Code</t>
  </si>
  <si>
    <t>Measure of Central Tendency</t>
  </si>
  <si>
    <t>Provider Specialties</t>
  </si>
  <si>
    <t>Row Reference</t>
  </si>
  <si>
    <t>Description</t>
  </si>
  <si>
    <t>Mandatory MOOP Limit</t>
  </si>
  <si>
    <t>Lower MOOP Limit</t>
  </si>
  <si>
    <t>A</t>
  </si>
  <si>
    <t>B</t>
  </si>
  <si>
    <t>C</t>
  </si>
  <si>
    <t>D</t>
  </si>
  <si>
    <t>E</t>
  </si>
  <si>
    <t>F</t>
  </si>
  <si>
    <t>G</t>
  </si>
  <si>
    <t>Intermediate MOOP Limit</t>
  </si>
  <si>
    <t>Final CY 2022 to Final CY 2023 MOOP Limits</t>
  </si>
  <si>
    <t>Final CY 2022 MOOP Limits</t>
  </si>
  <si>
    <t>Final CY 2023 to Final CY 2024 MOOP Limits</t>
  </si>
  <si>
    <t>Final CY 2023 MOOP Limits</t>
  </si>
  <si>
    <t>Final CY 2024 MOOP Limits</t>
  </si>
  <si>
    <t>8 Days</t>
  </si>
  <si>
    <t>15 Days</t>
  </si>
  <si>
    <t>60 Days</t>
  </si>
  <si>
    <t>Projected Part A deductible (value from row A in Table 1)</t>
  </si>
  <si>
    <t>3 Days</t>
  </si>
  <si>
    <t>6 Days</t>
  </si>
  <si>
    <t>10 Days</t>
  </si>
  <si>
    <t>Cost Sharing Limit Calculation</t>
  </si>
  <si>
    <t>Medicare FFS Amount</t>
  </si>
  <si>
    <r>
      <t>Unrounded cost sharing limit per § 422.100(j)(1)(i)(C )</t>
    </r>
    <r>
      <rPr>
        <i/>
        <sz val="11"/>
        <color theme="1"/>
        <rFont val="Calibri"/>
        <family val="2"/>
        <scheme val="minor"/>
      </rPr>
      <t>(1)</t>
    </r>
    <r>
      <rPr>
        <sz val="11"/>
        <color theme="1"/>
        <rFont val="Calibri"/>
        <family val="2"/>
        <scheme val="minor"/>
      </rPr>
      <t xml:space="preserve"> (1/8th projected Part A deductible in row A) </t>
    </r>
  </si>
  <si>
    <r>
      <rPr>
        <vertAlign val="superscript"/>
        <sz val="11"/>
        <color theme="1"/>
        <rFont val="Calibri"/>
        <family val="2"/>
        <scheme val="minor"/>
      </rPr>
      <t>1</t>
    </r>
    <r>
      <rPr>
        <sz val="11"/>
        <color theme="1"/>
        <rFont val="Calibri"/>
        <family val="2"/>
        <scheme val="minor"/>
      </rPr>
      <t xml:space="preserve"> The 20 percent coinsurance limit for home health (reflected in this table) only applies to MA plans that use the lower MOOP limit per § 422.100(j)(1)(i)(D). The home health copayment limit for the mandatory and intermediate MOOP limits is $0 in alignment with original Medicare that has no cost sharing for home health. </t>
    </r>
  </si>
  <si>
    <r>
      <rPr>
        <sz val="14"/>
        <color theme="1"/>
        <rFont val="Calibri"/>
        <family val="2"/>
        <scheme val="minor"/>
      </rPr>
      <t>Lower MOOP</t>
    </r>
    <r>
      <rPr>
        <vertAlign val="superscript"/>
        <sz val="14"/>
        <color theme="1"/>
        <rFont val="Calibri"/>
        <family val="2"/>
        <scheme val="minor"/>
      </rPr>
      <t>1</t>
    </r>
  </si>
  <si>
    <t>Weighted Average (Column B x D)</t>
  </si>
  <si>
    <t>Office Allowed Professional Costs (excluding drugs)</t>
  </si>
  <si>
    <t>Number of Visits</t>
  </si>
  <si>
    <t>Percent of Total</t>
  </si>
  <si>
    <t>Primary Care Physician (Total)</t>
  </si>
  <si>
    <t>Chiropractor</t>
  </si>
  <si>
    <t>Chiropractic Care (Total)</t>
  </si>
  <si>
    <t>Actuarially Equivalent Copayment Value Calculation</t>
  </si>
  <si>
    <t>Occupational Therapy (Total)</t>
  </si>
  <si>
    <t>Physician Specialist (Total)</t>
  </si>
  <si>
    <t>Mental Health Specialty Services (Total)</t>
  </si>
  <si>
    <t>Psychiatric Services (Total)</t>
  </si>
  <si>
    <t>Physical Therapy and Speech-language Pathology (Total)</t>
  </si>
  <si>
    <r>
      <rPr>
        <sz val="14"/>
        <color theme="1"/>
        <rFont val="Calibri"/>
        <family val="2"/>
        <scheme val="minor"/>
      </rPr>
      <t>Mandatory MOOP Type</t>
    </r>
    <r>
      <rPr>
        <vertAlign val="superscript"/>
        <sz val="14"/>
        <color theme="1"/>
        <rFont val="Calibri"/>
        <family val="2"/>
        <scheme val="minor"/>
      </rPr>
      <t>1</t>
    </r>
  </si>
  <si>
    <t>DME Diabetic Shoes and Inserts HCPCS Description</t>
  </si>
  <si>
    <t>A5500</t>
  </si>
  <si>
    <t>Diab shoe for density insert</t>
  </si>
  <si>
    <t>Diabetic custom molded shoe</t>
  </si>
  <si>
    <t>A5501</t>
  </si>
  <si>
    <t>Multi den insert direct form</t>
  </si>
  <si>
    <t>A5512</t>
  </si>
  <si>
    <t>Multi den insert custom mold</t>
  </si>
  <si>
    <t>A5513</t>
  </si>
  <si>
    <t>All MOOP Types</t>
  </si>
  <si>
    <t>Median</t>
  </si>
  <si>
    <t>Medicare FFS Allowed Amount (Total Per Session)</t>
  </si>
  <si>
    <t>Medicare FFS Allowed Amount (Total Per Visit)</t>
  </si>
  <si>
    <t>A5514</t>
  </si>
  <si>
    <t xml:space="preserve"> *Per Inflation Reduction Act and § 422.100(j)(1)</t>
  </si>
  <si>
    <t xml:space="preserve">Cost sharing limit for one month's supply per insulin type per beneficiary </t>
  </si>
  <si>
    <t>Occupational Therapist in Private Practice</t>
  </si>
  <si>
    <t>$20.00/day</t>
  </si>
  <si>
    <t>$10.00/day</t>
  </si>
  <si>
    <t>$0.00/day</t>
  </si>
  <si>
    <t>A5507</t>
  </si>
  <si>
    <t xml:space="preserve">Modification diabetic shoe  </t>
  </si>
  <si>
    <r>
      <t>Projected Part A Deductible</t>
    </r>
    <r>
      <rPr>
        <vertAlign val="superscript"/>
        <sz val="11"/>
        <color theme="1"/>
        <rFont val="Calibri"/>
        <family val="2"/>
      </rPr>
      <t>1</t>
    </r>
  </si>
  <si>
    <t>Lower and Intermediate MOOP Types</t>
  </si>
  <si>
    <t>Multi den insert dir carv/cam</t>
  </si>
  <si>
    <t>Final CY 2025 MOOP Limits</t>
  </si>
  <si>
    <t>Final CY 2024 to Final CY 2025 MOOP Limits</t>
  </si>
  <si>
    <r>
      <t>100% of estimated Medicare FFS cost sharing per § 422.100(f)(6)(iv)(D)</t>
    </r>
    <r>
      <rPr>
        <i/>
        <sz val="11"/>
        <color theme="1"/>
        <rFont val="Calibri"/>
        <family val="2"/>
      </rPr>
      <t>(1)</t>
    </r>
    <r>
      <rPr>
        <sz val="11"/>
        <color theme="1"/>
        <rFont val="Calibri"/>
        <family val="2"/>
      </rPr>
      <t xml:space="preserve"> (sum of row A and B)</t>
    </r>
  </si>
  <si>
    <r>
      <t>125% of estimated Medicare FFS cost sharing per § 422.100(f)(6)(iv)(D)</t>
    </r>
    <r>
      <rPr>
        <i/>
        <sz val="11"/>
        <color theme="1"/>
        <rFont val="Calibri"/>
        <family val="2"/>
      </rPr>
      <t xml:space="preserve">(3) </t>
    </r>
    <r>
      <rPr>
        <sz val="11"/>
        <color theme="1"/>
        <rFont val="Calibri"/>
        <family val="2"/>
      </rPr>
      <t>(value from row C in Table 2 multiplied by 1.25)</t>
    </r>
  </si>
  <si>
    <r>
      <t>Numeric midpoint between the unrounded inpatient hospital acute cost sharing limits for the mandatory and lower MOOP types per § 422.100(f)(6)(iv)(D)</t>
    </r>
    <r>
      <rPr>
        <i/>
        <sz val="11"/>
        <color theme="1"/>
        <rFont val="Calibri"/>
        <family val="2"/>
      </rPr>
      <t>(2)</t>
    </r>
    <r>
      <rPr>
        <sz val="11"/>
        <color theme="1"/>
        <rFont val="Calibri"/>
        <family val="2"/>
      </rPr>
      <t xml:space="preserve"> (numeric midpoint between row A and row B)</t>
    </r>
  </si>
  <si>
    <t>Rounded CY 2025 MOOP limit (row D rounded per § 422.100(f)(4)(iii))</t>
  </si>
  <si>
    <r>
      <rPr>
        <vertAlign val="superscript"/>
        <sz val="11"/>
        <color theme="1"/>
        <rFont val="Calibri"/>
        <family val="2"/>
      </rPr>
      <t>2</t>
    </r>
    <r>
      <rPr>
        <sz val="11"/>
        <color theme="1"/>
        <rFont val="Calibri"/>
        <family val="2"/>
      </rPr>
      <t>These amounts contain 100% of ESRD Cost Differential per § 422.100(f)(4)(vi)(B) and (f)(6)(iv)(C)).</t>
    </r>
  </si>
  <si>
    <r>
      <t>125% of estimated Medicare FFS cost sharing per § 422.100(f)(6)(iv)(D)</t>
    </r>
    <r>
      <rPr>
        <i/>
        <sz val="11"/>
        <color theme="1"/>
        <rFont val="Calibri"/>
        <family val="2"/>
      </rPr>
      <t>(3)</t>
    </r>
    <r>
      <rPr>
        <sz val="11"/>
        <color theme="1"/>
        <rFont val="Calibri"/>
        <family val="2"/>
      </rPr>
      <t xml:space="preserve"> (value from row C in Table 2 multiplied by 1.25)</t>
    </r>
  </si>
  <si>
    <r>
      <t>Numeric midpoint between inpatient hospital psychiatric cost sharing limits for the mandatory and lower MOOP types per § 422.100(f)(6)(iv)(D)</t>
    </r>
    <r>
      <rPr>
        <i/>
        <sz val="11"/>
        <color theme="1"/>
        <rFont val="Calibri"/>
        <family val="2"/>
      </rPr>
      <t>(2)</t>
    </r>
    <r>
      <rPr>
        <sz val="11"/>
        <color theme="1"/>
        <rFont val="Calibri"/>
        <family val="2"/>
      </rPr>
      <t xml:space="preserve"> (numeric midpoint between row A and row B)</t>
    </r>
  </si>
  <si>
    <t>CY 2026 coinsurance limit per § 422.100(f)(6)(iii)(F)</t>
  </si>
  <si>
    <r>
      <rPr>
        <vertAlign val="superscript"/>
        <sz val="11"/>
        <color theme="1"/>
        <rFont val="Calibri"/>
        <family val="2"/>
        <scheme val="minor"/>
      </rPr>
      <t>2</t>
    </r>
    <r>
      <rPr>
        <sz val="11"/>
        <color theme="1"/>
        <rFont val="Calibri"/>
        <family val="2"/>
        <scheme val="minor"/>
      </rPr>
      <t xml:space="preserve"> Section 422.100(f)(8)(i) requires use of Medicare FFS data projections based on the coinsurance limits that would apply in 2026, which is necessary for service categories subject to paragraph (f)(6)(iii), where the coinsurance percentages are changing overtime. For purposes of paragraph (j)(1), the applicable coinsurance percentage is the same for CY 2024 through 2026 and thereafter, unless the cost sharing requirements in original Medicare change. </t>
    </r>
  </si>
  <si>
    <t>Table 4: In-Network Maximum Out-of-Pocket (MOOP) Limits by Contract Year (CY)</t>
  </si>
  <si>
    <t>Table 5: Percent Change of In-Network Maximum Out-of-Pocket (MOOP) Limits from Prior Contract Year (CY)</t>
  </si>
  <si>
    <t>Table 1: Contract Year (CY) 2025 Emergency Services Cost Sharing Limits by Maximum Out-of-Pocket (MOOP) Type</t>
  </si>
  <si>
    <r>
      <t>Projected Part B Professional Acute Day 1 Cost Sharing</t>
    </r>
    <r>
      <rPr>
        <vertAlign val="superscript"/>
        <sz val="11"/>
        <color theme="1"/>
        <rFont val="Calibri"/>
        <family val="2"/>
      </rPr>
      <t>1,2</t>
    </r>
  </si>
  <si>
    <r>
      <t>Projected Part B Professional Acute Day 2 Cost Sharing</t>
    </r>
    <r>
      <rPr>
        <vertAlign val="superscript"/>
        <sz val="11"/>
        <color theme="1"/>
        <rFont val="Calibri"/>
        <family val="2"/>
      </rPr>
      <t>1,2</t>
    </r>
  </si>
  <si>
    <r>
      <t>Projected Part B Professional Acute Day 3 Cost Sharing</t>
    </r>
    <r>
      <rPr>
        <vertAlign val="superscript"/>
        <sz val="11"/>
        <color theme="1"/>
        <rFont val="Calibri"/>
        <family val="2"/>
      </rPr>
      <t>1,2</t>
    </r>
  </si>
  <si>
    <r>
      <t>Projected Part B Professional Acute Day 4 Cost Sharing</t>
    </r>
    <r>
      <rPr>
        <vertAlign val="superscript"/>
        <sz val="11"/>
        <color theme="1"/>
        <rFont val="Calibri"/>
        <family val="2"/>
      </rPr>
      <t>1,2</t>
    </r>
  </si>
  <si>
    <r>
      <t>Projected Part B Professional Acute Day 5 Cost Sharing</t>
    </r>
    <r>
      <rPr>
        <vertAlign val="superscript"/>
        <sz val="11"/>
        <color theme="1"/>
        <rFont val="Calibri"/>
        <family val="2"/>
      </rPr>
      <t>1,2</t>
    </r>
  </si>
  <si>
    <r>
      <t>Projected Part B Professional Acute Day 6+ Cost Sharing</t>
    </r>
    <r>
      <rPr>
        <vertAlign val="superscript"/>
        <sz val="11"/>
        <color theme="1"/>
        <rFont val="Calibri"/>
        <family val="2"/>
      </rPr>
      <t>1,2</t>
    </r>
  </si>
  <si>
    <t>Projected Part B professional acute day cost sharing (sum of values from rows B through G in Table 1 based on the number of days in the length of stay scenario established at § 422.100(f)(6)(iv)(B))</t>
  </si>
  <si>
    <r>
      <t>Projected Part B Professional Psychiatric Day 1 Cost Sharing</t>
    </r>
    <r>
      <rPr>
        <vertAlign val="superscript"/>
        <sz val="11"/>
        <color theme="1"/>
        <rFont val="Calibri"/>
        <family val="2"/>
      </rPr>
      <t>1,2</t>
    </r>
  </si>
  <si>
    <r>
      <t>Projected Part B Professional Psychiatric Day 2 Cost Sharing</t>
    </r>
    <r>
      <rPr>
        <vertAlign val="superscript"/>
        <sz val="11"/>
        <color theme="1"/>
        <rFont val="Calibri"/>
        <family val="2"/>
      </rPr>
      <t>1,2</t>
    </r>
  </si>
  <si>
    <r>
      <t>Projected Part B Professional Psychiatric Day 3 Cost Sharing</t>
    </r>
    <r>
      <rPr>
        <vertAlign val="superscript"/>
        <sz val="11"/>
        <color theme="1"/>
        <rFont val="Calibri"/>
        <family val="2"/>
      </rPr>
      <t>1,2</t>
    </r>
  </si>
  <si>
    <r>
      <t>Projected Part B Professional Psychiatric Day 4 Cost Sharing</t>
    </r>
    <r>
      <rPr>
        <vertAlign val="superscript"/>
        <sz val="11"/>
        <color theme="1"/>
        <rFont val="Calibri"/>
        <family val="2"/>
      </rPr>
      <t>1,2</t>
    </r>
  </si>
  <si>
    <r>
      <t>Projected Part B Professional Psychiatric Day 5 Cost Sharing</t>
    </r>
    <r>
      <rPr>
        <vertAlign val="superscript"/>
        <sz val="11"/>
        <color theme="1"/>
        <rFont val="Calibri"/>
        <family val="2"/>
      </rPr>
      <t>1,2</t>
    </r>
  </si>
  <si>
    <r>
      <t>Projected Part B Professional Psychiatric Day 6+ Cost Sharing</t>
    </r>
    <r>
      <rPr>
        <vertAlign val="superscript"/>
        <sz val="11"/>
        <color theme="1"/>
        <rFont val="Calibri"/>
        <family val="2"/>
      </rPr>
      <t>1,2</t>
    </r>
  </si>
  <si>
    <t>Projected Part B professional psychiatric day cost sharing (sum of values from rows B through G in Table 1 based on the number of days in the length of stay scenario established at § 422.100(f)(6)(iv)(B))</t>
  </si>
  <si>
    <t>CY 2025 MOOP limit (values from Table 3 in the "Final Contract Year (CY) 2025 Standards for Part C Benefits, Bid Review and Evaluation" HPMS memorandum issued May 6, 2024, on page 12)</t>
  </si>
  <si>
    <t>Table 1: Contract Year (CY) 2026 In-Network Mandatory and Lower Maximum Out-of-Pocket (MOOP) Limits</t>
  </si>
  <si>
    <t>Maximum unrounded CY 2026 MOOP limit per § 422.100(f)(4)(v)(A) (110% of row A)</t>
  </si>
  <si>
    <t>CY 2026 Medicare FFS percentiles (with 100% ESRD cost differential) per § 422.100(f)(4)(v)(A) and (vi)(B) (95th percentile for the mandatory MOOP; 85th percentile for the lower MOOP)*</t>
  </si>
  <si>
    <t>Unrounded CY 2026 MOOP limit with 10% cap on increases applied per § 422.100(f)(4)(v)(A) (the lesser value comparing row B and row C)</t>
  </si>
  <si>
    <t>Lowest dollar range of the CY 2026 MOOP limit per § 422.100(f)(4)(i) ($0 for the lower MOOP and one dollar above the intermediate MOOP in Table 2, row D for the mandatory MOOP)</t>
  </si>
  <si>
    <t>Final CY 2026 in-network lower and mandatory MOOP limit dollar ranges per § 422.100(f)(4)(i) through (iii), (v), and (vi) (range between rows F and E)</t>
  </si>
  <si>
    <t xml:space="preserve">*This amount is based on 2023 Medicare FFS data and the Office of the Actuary's (OACT's) costs and utilization projections between 2023 to 2026. The OACT employed generally accepted actuarial principles and practices in calculating this projected amount (per § 422.100(f)(7)). </t>
  </si>
  <si>
    <t>$0.00 to $4,200.00</t>
  </si>
  <si>
    <t>$6,751.00 to $9,250.00</t>
  </si>
  <si>
    <t>Table 2: Contract Year (CY) 2026 In-Network Intermediate Maximum Out-of-Pocket (MOOP) Limit</t>
  </si>
  <si>
    <t>Unrounded CY 2026 mandatory MOOP limit with 10% cap on increases applied (row D, mandatory MOOP limit column in Table 1)</t>
  </si>
  <si>
    <t>Unrounded CY 2026 lower MOOP limit with 10% cap on increases applied (row D, lower MOOP limit column in Table 1)</t>
  </si>
  <si>
    <t>Unrounded CY 2026 intermediate MOOP limit per § 422.100(f)(4)(v)(B) (numeric midpoint between row A and row B)</t>
  </si>
  <si>
    <t>Rounded CY 2026 intermediate MOOP limit (row C rounded per § 422.100(f)(4)(iii))</t>
  </si>
  <si>
    <t>Lowest dollar range of the CY 2026 intermediate MOOP limit per § 422.100(f)(4)(i)(B) (row E, lower MOOP limit column in Table 1 plus $1.00)</t>
  </si>
  <si>
    <t>Final CY 2026 in-network intermediate MOOP limit dollar range per § 422.100(f)(4)(i) through (iii), (v), and (vi) (range between rows E and D)</t>
  </si>
  <si>
    <t>$4,201.00 to $6,750.00</t>
  </si>
  <si>
    <t>Table 3: Contract Year (CY) 2026 Combined and Total Catastrophic Maximum Out-of-Pocket (MOOP) Limits</t>
  </si>
  <si>
    <t>Unrounded CY 2026 combined and total catastrophic MOOP limit per § 422.101(d)(3)(ii) (row A multiplied by 1.5)</t>
  </si>
  <si>
    <t>Unrounded CY 2026 in-network MOOP limit of corresponding MOOP type with 10% cap on increases applied (values from row D in Table 1 and row C in Table 2)</t>
  </si>
  <si>
    <t>Rounded CY 2026 combined and total catastrophic MOOP limit (row B rounded per § 422.100(f)(4)(iii))</t>
  </si>
  <si>
    <t xml:space="preserve">Lowest dollar range of the CY 2026 combined and total catastrophic MOOP limit per § 422.101(d)(3)(ii) (Lower MOOP: $0; Intermediate MOOP: one dollar above the in-network lower MOOP limit in Table 1, row E; Mandatory MOOP: one dollar above the in-network intermediate MOOP limit in Table 2, row D) </t>
  </si>
  <si>
    <t>Final CY 2026 combined and total catastrophic MOOP limit dollar ranges for each MOOP type per § 422.101(d)(3)(ii) (range between rows D and C)</t>
  </si>
  <si>
    <t>$0.00 to $6,300.00</t>
  </si>
  <si>
    <t>$4,201.00 to $10,100.00</t>
  </si>
  <si>
    <t>$6,751.00 to $13,900.00</t>
  </si>
  <si>
    <t>Final CY 2026 MOOP Limits</t>
  </si>
  <si>
    <t>Final CY 2025 to Final CY 2026 MOOP Limits</t>
  </si>
  <si>
    <t>Table 1: Contract Year (CY) 2026 Inpatient Hospital Acute Medicare FFS Data Projections</t>
  </si>
  <si>
    <r>
      <rPr>
        <vertAlign val="superscript"/>
        <sz val="11"/>
        <rFont val="Calibri"/>
        <family val="2"/>
      </rPr>
      <t>1</t>
    </r>
    <r>
      <rPr>
        <sz val="11"/>
        <rFont val="Calibri"/>
        <family val="2"/>
      </rPr>
      <t xml:space="preserve">These amounts are based on 2024 Medicare FFS data and the Office of the Actuary's (OACT's) projections for 2026. The OACT employed generally accepted actuarial principles and practices in calculating this projected amount (per § 422.100(f)(7)). </t>
    </r>
  </si>
  <si>
    <t>Table 2: Contract Year (CY) 2026 Inpatient Hospital Acute Cost Sharing Limits for the Mandatory Maximum Out-of-Pocket (MOOP) Type</t>
  </si>
  <si>
    <t>Final CY 2026 in-network mandatory MOOP limit (value in row E, mandatory MOOP column in Table 1 from "MOOP Limits" tab)</t>
  </si>
  <si>
    <t>Unrounded CY 2026 inpatient hospital acute cost sharing limits for the mandatory MOOP type per § 422.100(f)(6)(iv)(D) (lesser value comparing row C and D)</t>
  </si>
  <si>
    <t>Final CY 2026 inpatient hospital acute cost sharing limits for the mandatory MOOP type per § 422.100(f)(6)(iv) (row E rounded per § 422.100(f)(6)(ii))</t>
  </si>
  <si>
    <t>Table 3: Contract Year (CY) 2026 Inpatient Hospital Acute Cost Sharing Limits for the Lower Maximum Out-of-Pocket (MOOP) Type</t>
  </si>
  <si>
    <t>Final CY 2026 in-network lower MOOP limit  (value in row E, lower MOOP column in Table 1 from "MOOP Limits" tab)</t>
  </si>
  <si>
    <r>
      <t>Unrounded CY 2026 inpatient hospital acute cost sharing limits for the lower MOOP type per § 422.100(f)(6)(iv)(D) (lesser value comparing row A and B; except for 60-days which equals the final CY 2026 in-network lower MOOP limit from row B per § 422.100(f)(6)(iv)(D)</t>
    </r>
    <r>
      <rPr>
        <i/>
        <sz val="11"/>
        <color theme="1"/>
        <rFont val="Calibri"/>
        <family val="2"/>
      </rPr>
      <t>(3)</t>
    </r>
    <r>
      <rPr>
        <sz val="11"/>
        <color theme="1"/>
        <rFont val="Calibri"/>
        <family val="2"/>
      </rPr>
      <t>)</t>
    </r>
  </si>
  <si>
    <t>Final CY 2026 inpatient hospital acute cost sharing limits for the lower MOOP type per § 422.100(f)(6)(iv) (row C rounded per § 422.100(f)(6)(ii))</t>
  </si>
  <si>
    <t>Table 4: Contract Year (CY) 2026 Inpatient Hospital Acute Cost Sharing Limits for the Intermediate Maximum Out-of-Pocket (MOOP) Type</t>
  </si>
  <si>
    <t xml:space="preserve">Unrounded CY 2026 inpatient hospital acute cost sharing limits for the mandatory MOOP type (values in row E from Table 2) </t>
  </si>
  <si>
    <t>Unrounded CY 2026 inpatient hospital acute cost sharing limits for the lower MOOP type (values in row C from Table 3)</t>
  </si>
  <si>
    <t>Final CY 2026 in-network intermediate MOOP limit (value in row D in Table 2 from "MOOP Limits" tab)</t>
  </si>
  <si>
    <t>Unrounded CY 2026 inpatient hospital acute cost sharing limits for the intermediate MOOP type per § 422.100(f)(6)(iv)(D) (lesser value comparing row C and row D)</t>
  </si>
  <si>
    <t>Final CY 2026 inpatient hospital acute cost sharing limits for the intermediate MOOP type per § 422.100(f)(6)(iv) (row E rounded per § 422.100(f)(6)(ii))</t>
  </si>
  <si>
    <t>Table 1: Contract Year (CY) 2026 Inpatient Hospital Psychiatric Medicare FFS Data Projections</t>
  </si>
  <si>
    <t>Table 2: Contract Year (CY) 2026 Inpatient Hospital Psychiatric Cost Sharing Limits for the Mandatory Maximum Out-of-Pocket (MOOP) Type</t>
  </si>
  <si>
    <t>Unrounded CY 2026 inpatient hospital psychiatric cost sharing limits for the mandatory MOOP type per § 422.100(f)(6)(iv)(D) (lesser value comparing row C and D)</t>
  </si>
  <si>
    <t>Final CY 2026 inpatient hospital psychiatric cost sharing limits for the mandatory MOOP type per § 422.100(f)(6)(iv) (row E rounded per § 422.100(f)(6)(ii))</t>
  </si>
  <si>
    <t>Table 3: Contract Year (CY) 2026 Inpatient Hospital Psychiatric Cost Sharing Limits for the Lower Maximum Out-of-Pocket (MOOP) Type</t>
  </si>
  <si>
    <t>Final CY 2026 in-network lower MOOP limit (value in row E, lower MOOP column in Table 1 from "MOOP Limits" tab)</t>
  </si>
  <si>
    <t>Unrounded CY 2026 inpatient hospital psychiatric cost sharing limits for the lower MOOP type per § 422.100(f)(6)(iv)(D) (lesser value comparing row A and B)</t>
  </si>
  <si>
    <t>Final CY 2026 inpatient hospital psychiatric cost sharing limits for the lower MOOP type per § 422.100(f)(6)(iv) (row C rounded per § 422.100(f)(6)(ii))</t>
  </si>
  <si>
    <t>Table 4: Contract Year (CY) 2026 Inpatient Hospital Psychiatric Cost Sharing Limits for the Intermediate Maximum Out-of-Pocket (MOOP) Type</t>
  </si>
  <si>
    <t xml:space="preserve">Unrounded CY 2026 inpatient hospital psychiatric cost sharing limits for the mandatory MOOP type (values in row E from Table 2) </t>
  </si>
  <si>
    <t>Unrounded CY 2026 inpatient hospital psychiatric cost sharing limits for the lower MOOP type (values in row C from Table 3)</t>
  </si>
  <si>
    <t>Unrounded CY 2026 inpatient hospital psychiatric cost sharing limits for the intermediate MOOP type per § 422.100(f)(6)(iv)(D) (lesser value comparing row C and row D)</t>
  </si>
  <si>
    <t>Final CY 2026 inpatient hospital psychiatric cost sharing limits for the intermediate MOOP type per § 422.100(f)(6)(iv) (row E rounded per § 422.100(f)(6)(ii))</t>
  </si>
  <si>
    <t>Table 1: Contract Year (CY) 2026 Skilled Nursing Facility (SNF) Per Day Cost Sharing Limit for the First 20 Days by Maximum Out-of-Pocket (MOOP) Type</t>
  </si>
  <si>
    <t>Final CY 2026 SNF per day cost sharing limit for the first 20 days by MOOP type per § 422.100(j)(1)(i)(C )</t>
  </si>
  <si>
    <t>Table 2: Contract Year (CY) 2026 Skilled Nursing Facility (SNF) Per Day Cost Sharing Limit for Days 21 through 100 (Applicable to all Maximum Out-of-Pocket (MOOP) Types)</t>
  </si>
  <si>
    <t>Projected CY 2026 Part A Deductible*</t>
  </si>
  <si>
    <t>Final CY 2026 SNF per day cost sharing limit for days 21 through 100 applicable to all MOOP types per § 422.100(j)(1)(i) (row B rounded per § 422.100(f)(6)(ii))</t>
  </si>
  <si>
    <t xml:space="preserve">*This amount is based on 2024 Medicare FFS data and the Office of the Actuary's (OACT's) cost projections for 2026. The OACT employed generally accepted actuarial principles and practices in calculating this projected amount (per § 422.100(f)(7)). </t>
  </si>
  <si>
    <t>$218.00/day</t>
  </si>
  <si>
    <t>Table 1: Contract Year (CY) 2026 Part B Drugs-Insulin Cost Sharing Limit for All Maximum Out-of-Pocket (MOOP) Types*</t>
  </si>
  <si>
    <t>Table 1: Contract Year (CY) 2026 Cardiac Rehabilitation Services Copayment Limits by Maximum Out-of-Pocket (MOOP) Type</t>
  </si>
  <si>
    <t xml:space="preserve">Unrounded actuarially equivalent copayment value to CY 2026 coinsurance limit per § 422.100(f)(6)(iii)(F) (row A multiplied by row B)  </t>
  </si>
  <si>
    <t xml:space="preserve">Final CY 2026 copayment limit per § 422.100(f)(6)(iii) and (f)(8)(ii)(D) (row C rounded per § 422.100(f)(6)(ii))  </t>
  </si>
  <si>
    <t>CY 2026 projected total average Medicare FFS allowed amount*</t>
  </si>
  <si>
    <t>*This amount is based on 2023 Medicare FFS data and the Office of the Actuary's (OACT's) cost and utilization projections between 2023 to 2026. This amount represents the CY 2026 projected total average Medicare FFS allowed amount per cardiac rehabilitation session (based on HCPCS codes 93797 and 93798), weighted by the type of setting (such as, hospital outpatient departments and provider offices).  The OACT employed generally accepted actuarial principles and practices in calculating this projected amount (per § 422.100(f)(7)).</t>
  </si>
  <si>
    <t>Table 1: Contract Year (CY) 2026 Intensive Cardiac Rehabilitation Services Copayment Limits by Maximum Out-of-Pocket (MOOP) Type</t>
  </si>
  <si>
    <t>*This amount is based on 2023 Medicare FFS data and the Office of the Actuary's (OACT's) cost and utilization projections between 2023 to 2026. This amount represents the CY 2026 projected total average Medicare FFS allowed amount per intensive cardiac rehabilitation session (based on HCPCS codes G0422 and G0423 and APC code 5771), weighted by the type of setting (such as, hospital outpatient departments and provider offices). The OACT employed generally accepted actuarial principles and practices in calculating this projected amount (per § 422.100(f)(7)).</t>
  </si>
  <si>
    <t>Table 1: Contract Year (CY) 2026 Pulmonary Rehabilitation Services Copayment Limits by Maximum Out-of-Pocket (MOOP) Type</t>
  </si>
  <si>
    <t>Table 1: Contract Year (CY) 2026 Supervised Exercise Therapy (SET) for Symptomatic Peripheral Artery Disease (PAD) Copayment Limits by Maximum Out-of-Pocket (MOOP) Type</t>
  </si>
  <si>
    <r>
      <t>CY 2026 projected total average Medicare FFS allowed amount</t>
    </r>
    <r>
      <rPr>
        <vertAlign val="superscript"/>
        <sz val="11"/>
        <rFont val="Calibri"/>
        <family val="2"/>
        <scheme val="minor"/>
      </rPr>
      <t>1</t>
    </r>
  </si>
  <si>
    <t>*This amount is based on 2023 Medicare FFS data and the Office of the Actuary's (OACT's) cost and utilization projections between 2023 to 2026. This amount represents the CY 2026 projected total average Medicare FFS allowed amount per pulmonary rehabilitation session (based on CPT codes 94625 and 94626 and APC code 5733), weighted by the type of setting (such as, hospital outpatient departments and provider offices).  The OACT employed generally accepted actuarial principles and practices in calculating this projected amount (per § 422.100(f)(7)).</t>
  </si>
  <si>
    <t>*This amount from the Office of the Actuary (OACT) is based on 2024 Medicare FFS data and the increase between 2023 to 2024 to project to CY 2026. This amount represents the CY 2026 projected total average Medicare FFS allowed amount per SET for PAD session (based on CPT code 93668 and APC code 5733), weighted by the type of setting (such as, hospital outpatient departments and provider offices).  The OACT employed generally accepted actuarial principles and practices in calculating this projected amount (per § 422.100(f)(7)).</t>
  </si>
  <si>
    <r>
      <t>Final CY 2026 emergency services cost sharing limit per visit by MOOP type per § 422.113(b)(2)(v)(B)</t>
    </r>
    <r>
      <rPr>
        <i/>
        <sz val="11"/>
        <color theme="1"/>
        <rFont val="Calibri"/>
        <family val="2"/>
        <scheme val="minor"/>
      </rPr>
      <t>(4)</t>
    </r>
  </si>
  <si>
    <t>Table 2: Contract Year (CY) 2026 Urgently Needed Services Copayment Limits by Maximum Out-of-Pocket (MOOP) Type</t>
  </si>
  <si>
    <r>
      <rPr>
        <vertAlign val="superscript"/>
        <sz val="11"/>
        <color theme="1"/>
        <rFont val="Calibri"/>
        <family val="2"/>
        <scheme val="minor"/>
      </rPr>
      <t>1</t>
    </r>
    <r>
      <rPr>
        <sz val="11"/>
        <color theme="1"/>
        <rFont val="Calibri"/>
        <family val="2"/>
        <scheme val="minor"/>
      </rPr>
      <t xml:space="preserve"> This amount is based on 2023 Medicare FFS data and the Office of the Actuary's (OACT's) cost and utilization projections between 2023 to 2026. This amount represents the CY 2026 projected total average Medicare FFS allowed amount per urgent care visit, weighted by the number of visits rendered. This amount includes Medicare's payment plus the out-of-pocket cost for the visit code as well as the other services rendered and Part B drug costs. The OACT employed generally accepted actuarial principles and practices in calculating this projected amount (per § 422.100(f)(7)).</t>
    </r>
  </si>
  <si>
    <t>Table 1: Contract Year (CY) 2026 Partial Hospitalization Copayment Limits by Maximum Out-of-Pocket (MOOP) Type</t>
  </si>
  <si>
    <t>Table 1: Contract Year (CY) 2026 Urgently Needed Services Medicare FFS Data Projections</t>
  </si>
  <si>
    <r>
      <t>CY 2026 projected total average Medicare FFS allowed amount per day</t>
    </r>
    <r>
      <rPr>
        <vertAlign val="superscript"/>
        <sz val="11"/>
        <rFont val="Calibri"/>
        <family val="2"/>
        <scheme val="minor"/>
      </rPr>
      <t>1</t>
    </r>
  </si>
  <si>
    <r>
      <t>Final CY 2026 copayment limit per § 422.100(f)(6)(iii) and (f)(8)(ii)(D) (row C rounded per § 422.100(f)(6)(ii))</t>
    </r>
    <r>
      <rPr>
        <vertAlign val="superscript"/>
        <sz val="11"/>
        <color theme="1"/>
        <rFont val="Calibri"/>
        <family val="2"/>
        <scheme val="minor"/>
      </rPr>
      <t>2</t>
    </r>
  </si>
  <si>
    <r>
      <rPr>
        <vertAlign val="superscript"/>
        <sz val="11"/>
        <rFont val="Calibri"/>
        <family val="2"/>
        <scheme val="minor"/>
      </rPr>
      <t>1</t>
    </r>
    <r>
      <rPr>
        <sz val="11"/>
        <rFont val="Calibri"/>
        <family val="2"/>
        <scheme val="minor"/>
      </rPr>
      <t xml:space="preserve"> This amount is based on 2023 Medicare FFS data and the Office of the Actuary's (OACT's) cost and utilization projections of partial hospitalization (which requires 20 or more hours of care each week beginning on January 1, 2024) between 2023 to 2026. This amount represents the CY 2026 projected total average Medicare FFS allowed amount per day of partial hospitalization (including physician fees and facility fees/APC codes 5863 and 5853), weighted by the type of setting (such as, hospital outpatient departments and community mental health centers).  The OACT employed generally accepted actuarial principles and practices in calculating this projected amount (per § 422.100(f)(7)).</t>
    </r>
  </si>
  <si>
    <r>
      <rPr>
        <vertAlign val="superscript"/>
        <sz val="11"/>
        <color theme="1"/>
        <rFont val="Calibri"/>
        <family val="2"/>
        <scheme val="minor"/>
      </rPr>
      <t>2</t>
    </r>
    <r>
      <rPr>
        <sz val="11"/>
        <color theme="1"/>
        <rFont val="Calibri"/>
        <family val="2"/>
        <scheme val="minor"/>
      </rPr>
      <t xml:space="preserve"> The final CY 2026 copayment limits for partial hospitalization are separate from the copayment limits that apply to the intensive outpatient services program. The intensive outpatient services program has only 9 hours of care required each week. </t>
    </r>
  </si>
  <si>
    <t>Table 1: Contract Year (CY) 2026 Intensive Outpatient Services Program Copayment Limits by Maximum Out-of-Pocket (MOOP) Type</t>
  </si>
  <si>
    <r>
      <rPr>
        <vertAlign val="superscript"/>
        <sz val="11"/>
        <color theme="1"/>
        <rFont val="Calibri"/>
        <family val="2"/>
        <scheme val="minor"/>
      </rPr>
      <t>2</t>
    </r>
    <r>
      <rPr>
        <sz val="11"/>
        <color theme="1"/>
        <rFont val="Calibri"/>
        <family val="2"/>
        <scheme val="minor"/>
      </rPr>
      <t xml:space="preserve"> The final CY 2026 copayment limits for intensive outpatient services program are separate from the copayment limits that apply to partial hospitalization. Partial hospitalization requires 20 or more hours of care each week. </t>
    </r>
  </si>
  <si>
    <r>
      <rPr>
        <vertAlign val="superscript"/>
        <sz val="11"/>
        <rFont val="Calibri"/>
        <family val="2"/>
        <scheme val="minor"/>
      </rPr>
      <t>1</t>
    </r>
    <r>
      <rPr>
        <sz val="11"/>
        <rFont val="Calibri"/>
        <family val="2"/>
        <scheme val="minor"/>
      </rPr>
      <t xml:space="preserve"> This amount is based on 2023 Medicare FFS data and the Office of the Actuary's (OACT's) cost and utilization projections of intensive outpatient services program (has only 9 hours of care required each week) between 2023 to 2026. This amount represents the CY 2026 projected total average Medicare FFS allowed amount per day of intensive outpatient services program (including physician fees and facility fees/APC codes 5863 and 5853), weighted by the type of setting (such as, hospital outpatient departments and community mental health centers).  The OACT employed generally accepted actuarial principles and practices in calculating this projected amount (per § 422.100(f)(7)).</t>
    </r>
  </si>
  <si>
    <t>Table 1: Contract Year (CY) 2026 Home Health Copayment Limit for the Lower Maximum Out-of-Pocket (MOOP) Type</t>
  </si>
  <si>
    <r>
      <t>CY 2026 projected total average Medicare FFS allowed amount</t>
    </r>
    <r>
      <rPr>
        <vertAlign val="superscript"/>
        <sz val="11"/>
        <rFont val="Calibri"/>
        <family val="2"/>
        <scheme val="minor"/>
      </rPr>
      <t>2</t>
    </r>
  </si>
  <si>
    <t>CY 2026 coinsurance limit per § 422.100(j)(1)</t>
  </si>
  <si>
    <t xml:space="preserve">Unrounded actuarially equivalent copayment value to CY 2026 coinsurance limit per § 422.100(j)(1) (row A multiplied by row B)  </t>
  </si>
  <si>
    <t xml:space="preserve">Final CY 2026 copayment limit per § 422.100(j)(1) and (f)(8)(ii)(D) (row C rounded per § 422.100(f)(6)(ii))  </t>
  </si>
  <si>
    <t>Table 1: Contract Year (CY) 2026 Primary Care Physician Medicare FFS Data Projections</t>
  </si>
  <si>
    <t>Table 2: Contract Year (CY) 2026 Primary Care Physician Copayment Limits by Maximum Out-of-Pocket (MOOP) Type</t>
  </si>
  <si>
    <t>Table 1: Contract Year (CY) 2026 Chiropractic Care Medicare FFS Data Projections</t>
  </si>
  <si>
    <t>Table 2: Contract Year (CY) 2026 Chiropractic Care Copayment Limits by Maximum Out-of-Pocket (MOOP) Type</t>
  </si>
  <si>
    <t>Table 1: Contract Year (CY) 2026 Occupational Therapy Medicare FFS Data Projections</t>
  </si>
  <si>
    <t>Table 2: Contract Year (CY) 2026 Occupational Therapy Copayment Limits by Maximum Out-of-Pocket (MOOP) Type</t>
  </si>
  <si>
    <t xml:space="preserve">Unrounded actuarially equivalent copayment value to CY 2025 coinsurance limit per § 422.100(f)(6)(iii)(F) (row A multiplied by row B)  </t>
  </si>
  <si>
    <t>Table 1: Contract Year (CY) 2026 Physician Specialist Medicare FFS Data Projections</t>
  </si>
  <si>
    <t>Table 2: Contract Year (CY) 2026 Physician Specialist Copayment Limits by Maximum Out-of-Pocket (MOOP) Type</t>
  </si>
  <si>
    <t>Table 1: Contract Year (CY) 2026 Mental Health Specialty Services Medicare FFS Data Projections</t>
  </si>
  <si>
    <t>Table 2: Contract Year (CY) 2026 Mental Health Specialty Services Copayment Limits by Maximum Out-of-Pocket (MOOP) Type</t>
  </si>
  <si>
    <t>Table 1: Contract Year (CY) 2026 Psychiatric Services Medicare FFS Data Projections</t>
  </si>
  <si>
    <t>Table 2: Contract Year (CY) 2026 Psychiatric Services Copayment Limits by Maximum Out-of-Pocket (MOOP) Type</t>
  </si>
  <si>
    <t>Table 1: Contract Year (CY) 2026 Physical Therapy and Speech-language Pathology Medicare FFS Data Projections</t>
  </si>
  <si>
    <t>Table 2: Contract Year (CY) 2026 Physical Therapy and Speech-language Pathology Copayment Limits by Maximum Out-of-Pocket (MOOP) Type</t>
  </si>
  <si>
    <t>Table 1: Contract Year (CY) 2026 Therapeutic Radiological Services Medicare FFS Data Projections</t>
  </si>
  <si>
    <t>Table 2: Contract Year (CY) 2026 Therapeutic Radiological Services Copayment Limit for all Maximum Out-of-Pocket (MOOP) Types</t>
  </si>
  <si>
    <r>
      <t>CY 2026 projected total median Medicare FFS allowed amount (the lesser value comparing row A and B in Table 1, per § 422.100(f)(7))</t>
    </r>
    <r>
      <rPr>
        <vertAlign val="superscript"/>
        <sz val="11"/>
        <rFont val="Calibri"/>
        <family val="2"/>
        <scheme val="minor"/>
      </rPr>
      <t xml:space="preserve">1 </t>
    </r>
  </si>
  <si>
    <r>
      <t>Unrounded actuarially equivalent copayment value to CY 2026 coinsurance limit per § 422.100(j)(1) (row A multiplied by row B)</t>
    </r>
    <r>
      <rPr>
        <vertAlign val="superscript"/>
        <sz val="11"/>
        <color theme="1"/>
        <rFont val="Calibri"/>
        <family val="2"/>
        <scheme val="minor"/>
      </rPr>
      <t>2</t>
    </r>
  </si>
  <si>
    <r>
      <rPr>
        <vertAlign val="superscript"/>
        <sz val="11"/>
        <rFont val="Calibri"/>
        <family val="2"/>
        <scheme val="minor"/>
      </rPr>
      <t>1</t>
    </r>
    <r>
      <rPr>
        <sz val="11"/>
        <rFont val="Calibri"/>
        <family val="2"/>
        <scheme val="minor"/>
      </rPr>
      <t xml:space="preserve"> This amount is based on 2023 Medicare FFS data and the Office of the Actuary's (OACT's) cost and utilization projections between 2023 to 2026. This amount represents the CY 2026 projected total median Medicare FFS allowed amount per session (excluding Part B drug costs). The OACT employed generally accepted actuarial principles and practices in calculating this projected amount (per § 422.100(f)(7)). </t>
    </r>
  </si>
  <si>
    <r>
      <t>Table 1: Contract Year (CY) 2026 DME Diabetic Shoes and Inserts Medicare FFS Data Projections</t>
    </r>
    <r>
      <rPr>
        <vertAlign val="superscript"/>
        <sz val="14"/>
        <rFont val="Calibri"/>
        <family val="2"/>
        <scheme val="minor"/>
      </rPr>
      <t>1</t>
    </r>
  </si>
  <si>
    <t>Table 2: Contract Year (CY) 2026 Durable Medical Equipment (DME) Diabetic Shoes or Inserts Copayment Limit for Lower and Intermediate Maximum Out-of-Pocket (MOOP) Types</t>
  </si>
  <si>
    <t>CY 2026 coinsurance limit per § 422.100(f)(6)(i)</t>
  </si>
  <si>
    <r>
      <t>Unrounded actuarially equivalent copayment value to CY 2026 coinsurance limit per § 422.100(f)(6)(i) (row A multiplied by row B)</t>
    </r>
    <r>
      <rPr>
        <vertAlign val="superscript"/>
        <sz val="11"/>
        <color theme="1"/>
        <rFont val="Calibri"/>
        <family val="2"/>
        <scheme val="minor"/>
      </rPr>
      <t>2</t>
    </r>
  </si>
  <si>
    <t xml:space="preserve">Final CY 2026 copayment limit per § 422.100(f)(6)(i) and (j)(1) (row C rounded per § 422.100(f)(6)(ii))  </t>
  </si>
  <si>
    <t xml:space="preserve">* This amount is based on the first three quarters of 2024 Medicare FFS published prices and utilization and then to project to CY 2026, the Office of the Actuary (OACT) applied the increase between 2024 to 2026 to that data. This amount represents the CY 2026 projected total average Medicare FFS allowed amount for diabetic shoes or inserts (without Part B deductible adjustment), weighted by utilization of the DME shoes, inserts, and shoe modifications HCPCS codes in Table 1. The OACT employed generally accepted actuarial principles and practices in calculating this projected amount (per § 422.100(f)(7)). </t>
  </si>
  <si>
    <t>Table 3: CY 2026 DME Diabetic Shoes or Inserts Copayment Limit for Mandatory Maximum Out-of-Pocket (MOOP) Type</t>
  </si>
  <si>
    <r>
      <rPr>
        <vertAlign val="superscript"/>
        <sz val="11"/>
        <rFont val="Calibri"/>
        <family val="2"/>
        <scheme val="minor"/>
      </rPr>
      <t>1</t>
    </r>
    <r>
      <rPr>
        <sz val="11"/>
        <rFont val="Calibri"/>
        <family val="2"/>
        <scheme val="minor"/>
      </rPr>
      <t xml:space="preserve"> This amount is based on the first three quarters of 2024 Medicare FFS published prices and utilization and then to project to CY 2026, the Office of the Actuary (OACT) applied the increase between 2024 to 2026 to that data. This amount represents the CY 2026 projected total average Medicare FFS allowed amount for diabetic shoes or inserts (without a Part B deductible adjustment), weighted by utilization of the DME shoes, inserts, and shoe modifications HCPCS codes in Table 1. The OACT employed generally accepted actuarial principles and practices in calculating this projected amount (as finalized in § 422.100(f)(7)). </t>
    </r>
  </si>
  <si>
    <t>Table 1: Contract Year (CY) 2026 Dialysis Services Copayment Limit for All Maximum Out-of-Pocket (MOOP) Types</t>
  </si>
  <si>
    <r>
      <rPr>
        <vertAlign val="superscript"/>
        <sz val="11"/>
        <rFont val="Calibri"/>
        <family val="2"/>
        <scheme val="minor"/>
      </rPr>
      <t>1</t>
    </r>
    <r>
      <rPr>
        <sz val="11"/>
        <rFont val="Calibri"/>
        <family val="2"/>
        <scheme val="minor"/>
      </rPr>
      <t xml:space="preserve"> This amount is based on 2025 Medicare FFS published prices and 2024 Medicare FFS utilization and then to project to CY 2026, the Office of the Actuary (OACT) applied the increase between 2024 to 2026 to that data. This amount represents the CY 2026 projected total average Medicare FFS allowed amount per dialysis session (including facility fees, approximated physician fees, and Part B drug costs), weighted by all types of dialysis and settings (such as, hospital outpatient departments, provider offices, and the beneficiary's home). The Part B drug costs include coverage of oral-only ESRD drugs that begins 1/1/2025. The OACT employed generally accepted actuarial principles and practices in calculating this projected amount (per § 422.100(f)(7)). </t>
    </r>
  </si>
  <si>
    <t>Table 1: Contract Year (CY) 2026 Part B Drugs - Chemotherapy/Radiation Drugs Medicare FFS Data Projections</t>
  </si>
  <si>
    <t>Table 2: Contract Year (CY) 2026 Part B Drugs - Chemotherapy/Radiation Drugs Services Copayment Limit for All Maximum Out-of-Pocket (MOOP) Types</t>
  </si>
  <si>
    <r>
      <t>CY 2026 projected total median Medicare FFS allowed amount (the lesser value comparing row A and B in Table 1, per § 422.100(f)(7))</t>
    </r>
    <r>
      <rPr>
        <vertAlign val="superscript"/>
        <sz val="11"/>
        <rFont val="Calibri"/>
        <family val="2"/>
        <scheme val="minor"/>
      </rPr>
      <t>1</t>
    </r>
  </si>
  <si>
    <r>
      <rPr>
        <vertAlign val="superscript"/>
        <sz val="11"/>
        <rFont val="Calibri"/>
        <family val="2"/>
        <scheme val="minor"/>
      </rPr>
      <t>1</t>
    </r>
    <r>
      <rPr>
        <sz val="11"/>
        <rFont val="Calibri"/>
        <family val="2"/>
        <scheme val="minor"/>
      </rPr>
      <t xml:space="preserve"> This amount is based on 2023 Medicare FFS data and the Office of the Actuary's (OACT's) cost and utilization projections between 2023 to 2026. This amount represents the CY 2026 projected total median Medicare FFS allowed amount per cancer treatment session (including Part B drug IRA effects and costs from betos/HCPCS codes that have a chemotherapy grouper and takes into consideration drug, administration, and place of service costs). The OACT employed generally accepted actuarial principles and practices in calculating this projected amount (per § 422.100(f)(7)). </t>
    </r>
  </si>
  <si>
    <t>Table 1: Contract Year (CY) 2026 Part B Drugs - Other Medicare FFS Data Projections</t>
  </si>
  <si>
    <t>Table 2: Contract Year (CY) 2026 Part B Drugs - Other Services Copayment Limit for All Maximum Out-of-Pocket (MOOP) Types</t>
  </si>
  <si>
    <r>
      <rPr>
        <vertAlign val="superscript"/>
        <sz val="11"/>
        <rFont val="Calibri"/>
        <family val="2"/>
        <scheme val="minor"/>
      </rPr>
      <t>1</t>
    </r>
    <r>
      <rPr>
        <sz val="11"/>
        <rFont val="Calibri"/>
        <family val="2"/>
        <scheme val="minor"/>
      </rPr>
      <t xml:space="preserve"> This amount is based on 2023 Medicare FFS data and the Office of the Actuary's (OACT's) cost and utilization projections between 2023 to 2026. This amount represents the CY 2026 projected total median Medicare FFS allowed amount for Part B drugs (excluding insulin and Part B-chemotherapy/radiation drugs) received on a per visit basis, including professional costs, drug costs, facility costs, the Part A deductible cap for outpatient department cases, and Part B drug IRA effects. The OACT employed generally accepted actuarial principles and practices in calculating this projected amount (per § 422.100(f)(7)). </t>
    </r>
  </si>
  <si>
    <t xml:space="preserve">*This amount is based on 2024 Medicare FFS cost and utilization data of provider specialties in an office setting and the Office of the Actuary's (OACT's) projections of cost changes between 2024 to 2026. This amount represents the CY 2026 projected total average Medicare FFS allowed amount per physician specialist visit (excluding drug costs), weighted by utilization of the following provider specialty types: cardiology, gastroenterology, nephrology, and ENT (otolaryngology). The OACT employed generally accepted actuarial principles and practices in calculating this projected amount (per § 422.100(f)(7)). </t>
  </si>
  <si>
    <t xml:space="preserve">*This amount is based on 2024 Medicare FFS cost and utilization data of provider specialties in an office setting and the Office of the Actuary's (OACT's) projections of cost changes between 2024 to 2026. This amount represents the CY 2026 projected total average Medicare FFS allowed amount per primary care visit (excluding drug costs), weighted by utilization of the following provider specialty types: family practice, general practice, internal medicine, and geriatric medicine. The OACT employed generally accepted actuarial principles and practices in calculating this projected amount (per § 422.100(f)(7)). </t>
  </si>
  <si>
    <t xml:space="preserve">*This amount is based on 2024 Medicare FFS cost and utilization data of provider specialties in an office setting and the Office of the Actuary's (OACT's) projections of cost changes between 2024 to 2026. This amount represents the CY 2026 projected total average Medicare FFS allowed amount per visit (excluding drug costs) for the provider specialty type: chiropractor. The OACT employed generally accepted actuarial principles and practices in calculating this projected amount (per § 422.100(f)(7)). </t>
  </si>
  <si>
    <t xml:space="preserve">*This amount is based on 2024 Medicare FFS cost and utilization data of provider specialties in an office setting and the Office of the Actuary's (OACT's) projections of cost changes between 2024 to 2026. This amount represents the CY 2026 projected total average Medicare FFS allowed amount per visit (excluding drug costs) for the provider specialty type: occupational therapist in private practice. The OACT employed generally accepted actuarial principles and practices in calculating this projected amount (per § 422.100(f)(7)). </t>
  </si>
  <si>
    <t xml:space="preserve">*This amount is based on 2024 Medicare FFS cost and utilization data of provider specialties in an office setting and the Office of the Actuary's (OACT's) projections of cost changes between 2024 to 2026. This amount represents the CY 2026 projected total average Medicare FFS allowed amount per mental health specialty visit (excluding drug costs), weighted by utilization of the following provider specialty types: clinical psychologist, licensed clinical social worker, and psychiatry. The OACT employed generally accepted actuarial principles and practices in calculating this projected amount (per § 422.100(f)(7)). </t>
  </si>
  <si>
    <t xml:space="preserve">*This amount is based on 2024 Medicare FFS cost and utilization data of provider specialties in an office setting and the Office of the Actuary's (OACT's) projections of cost changes between 2024 to 2026. This amount represents the CY 2026 projected total average Medicare FFS allowed amount per visit (excluding drug costs) for the provider specialty type: psychiatry. The OACT employed generally accepted actuarial principles and practices in calculating this projected amount (per § 422.100(f)(7)). </t>
  </si>
  <si>
    <t xml:space="preserve">*This amount is based on 2024 Medicare FFS cost and utilization data of provider specialties in an office setting and the Office of the Actuary's (OACT's) projections of cost changes between 2024 to 2026. This amount represents the CY 2026 projected total average Medicare FFS allowed amount per physical therapy or speech-therapy visit (excluding drug costs), weighted by utilization of the following provider specialty types: physical medicine and rehabilitation and speech-language pathologists. The OACT employed generally accepted actuarial principles and practices in calculating this projected amount (per § 422.100(f)(7)). </t>
  </si>
  <si>
    <r>
      <rPr>
        <vertAlign val="superscript"/>
        <sz val="11"/>
        <rFont val="Calibri"/>
        <family val="2"/>
        <scheme val="minor"/>
      </rPr>
      <t>2</t>
    </r>
    <r>
      <rPr>
        <sz val="11"/>
        <rFont val="Calibri"/>
        <family val="2"/>
        <scheme val="minor"/>
      </rPr>
      <t xml:space="preserve"> This amount is based on 2023 Medicare FFS data and the Office of the Actuary's (OACT's) cost and utilization projections between 2023 to 2026. This amount represents the CY 2026 projected total Medicare FFS weighted average cost per home health visit, including services in the Medicare FFS home health bundle (such as, nurse, aid, therapist, certain medical supplies and medications) but no other services (such as other medications, supplies, and DME). In addition, this amount reflects a correction from prior years that resulted in counting outlier payments twice. The OACT employed generally accepted actuarial principles and practices in calculating this projected amount (per § 422.100(f)(7)). </t>
    </r>
  </si>
  <si>
    <t>Diabetic shoe with wedge</t>
  </si>
  <si>
    <t>Diabetic shoe with roller/rockr</t>
  </si>
  <si>
    <t>Diabetic shoe with metatarsal bar</t>
  </si>
  <si>
    <t>Diabetic shoe with off set heel</t>
  </si>
  <si>
    <t>Projected Weighted Average Price (Column E x Column F)</t>
  </si>
  <si>
    <t>Projected Medicare FFS Allowed Service Units as Percent of Total</t>
  </si>
  <si>
    <t>Average Projected Price (Column C / Column D)</t>
  </si>
  <si>
    <r>
      <rPr>
        <vertAlign val="superscript"/>
        <sz val="11"/>
        <rFont val="Calibri"/>
        <family val="2"/>
        <scheme val="minor"/>
      </rPr>
      <t>1</t>
    </r>
    <r>
      <rPr>
        <sz val="11"/>
        <rFont val="Calibri"/>
        <family val="2"/>
        <scheme val="minor"/>
      </rPr>
      <t xml:space="preserve"> These HCPCS codes were added to calculate the projected weighted average price for diabetic shoes and inserts compared to the calculation for the prior contract year, 2025. </t>
    </r>
  </si>
  <si>
    <r>
      <rPr>
        <vertAlign val="superscript"/>
        <sz val="11"/>
        <rFont val="Calibri"/>
        <family val="2"/>
        <scheme val="minor"/>
      </rPr>
      <t>2</t>
    </r>
    <r>
      <rPr>
        <sz val="11"/>
        <rFont val="Calibri"/>
        <family val="2"/>
        <scheme val="minor"/>
      </rPr>
      <t>These amounts are based on data from the first three quarters of 2024 Medicare FFS published prices and utilization.</t>
    </r>
  </si>
  <si>
    <r>
      <t>Projected Medicare FFS Allowed Amount</t>
    </r>
    <r>
      <rPr>
        <vertAlign val="superscript"/>
        <sz val="11"/>
        <color rgb="FF000000"/>
        <rFont val="Calibri"/>
        <family val="2"/>
        <scheme val="minor"/>
      </rPr>
      <t>2</t>
    </r>
  </si>
  <si>
    <r>
      <t>Projected Medicare FFS Allowed Service Unit</t>
    </r>
    <r>
      <rPr>
        <vertAlign val="superscript"/>
        <sz val="11"/>
        <color rgb="FF000000"/>
        <rFont val="Calibri"/>
        <family val="2"/>
        <scheme val="minor"/>
      </rPr>
      <t>2</t>
    </r>
  </si>
  <si>
    <r>
      <t>A5503</t>
    </r>
    <r>
      <rPr>
        <vertAlign val="superscript"/>
        <sz val="11"/>
        <color rgb="FF000000"/>
        <rFont val="Calibri"/>
        <family val="2"/>
        <scheme val="minor"/>
      </rPr>
      <t>1</t>
    </r>
  </si>
  <si>
    <r>
      <t>A5504</t>
    </r>
    <r>
      <rPr>
        <vertAlign val="superscript"/>
        <sz val="11"/>
        <color rgb="FF000000"/>
        <rFont val="Calibri"/>
        <family val="2"/>
        <scheme val="minor"/>
      </rPr>
      <t>1</t>
    </r>
  </si>
  <si>
    <r>
      <t>A5505</t>
    </r>
    <r>
      <rPr>
        <vertAlign val="superscript"/>
        <sz val="11"/>
        <color rgb="FF000000"/>
        <rFont val="Calibri"/>
        <family val="2"/>
        <scheme val="minor"/>
      </rPr>
      <t>1</t>
    </r>
  </si>
  <si>
    <r>
      <t>A5506</t>
    </r>
    <r>
      <rPr>
        <vertAlign val="superscript"/>
        <sz val="11"/>
        <color rgb="FF000000"/>
        <rFont val="Calibri"/>
        <family val="2"/>
        <scheme val="minor"/>
      </rPr>
      <t>1</t>
    </r>
  </si>
  <si>
    <t>Marriage and Family Therapists</t>
  </si>
  <si>
    <t>Mental Health Counselors</t>
  </si>
  <si>
    <t>Table 6: Contract Year (CY) 2026 Medicare FFS Percentiles</t>
  </si>
  <si>
    <t>95th Percentile</t>
  </si>
  <si>
    <t>85th Percentile</t>
  </si>
  <si>
    <t>Medicare FFS Projection (100% of ESRD costs included)</t>
  </si>
  <si>
    <t>Medicare FFS Projection (Excludes beneficiaries with ESRD)</t>
  </si>
  <si>
    <t>Table 5: Contract Year (CY) 2026 Inpatient Hospital Acute Medicare FFS Data Projections - Excluding Beneficiaries with End-Stage Renal Disease (ESRD)</t>
  </si>
  <si>
    <r>
      <t>Projected Part B Professional Acute Day 1 Cost Sharing</t>
    </r>
    <r>
      <rPr>
        <vertAlign val="superscript"/>
        <sz val="11"/>
        <color theme="1"/>
        <rFont val="Calibri"/>
        <family val="2"/>
      </rPr>
      <t>1</t>
    </r>
  </si>
  <si>
    <r>
      <t>Projected Part B Professional Acute Day 2 Cost Sharing</t>
    </r>
    <r>
      <rPr>
        <vertAlign val="superscript"/>
        <sz val="11"/>
        <color theme="1"/>
        <rFont val="Calibri"/>
        <family val="2"/>
      </rPr>
      <t>1</t>
    </r>
  </si>
  <si>
    <r>
      <t>Projected Part B Professional Acute Day 3 Cost Sharing</t>
    </r>
    <r>
      <rPr>
        <vertAlign val="superscript"/>
        <sz val="11"/>
        <color theme="1"/>
        <rFont val="Calibri"/>
        <family val="2"/>
      </rPr>
      <t>1</t>
    </r>
  </si>
  <si>
    <r>
      <t>Projected Part B Professional Acute Day 4 Cost Sharing</t>
    </r>
    <r>
      <rPr>
        <vertAlign val="superscript"/>
        <sz val="11"/>
        <color theme="1"/>
        <rFont val="Calibri"/>
        <family val="2"/>
      </rPr>
      <t>1</t>
    </r>
  </si>
  <si>
    <r>
      <t>Projected Part B Professional Acute Day 5 Cost Sharing</t>
    </r>
    <r>
      <rPr>
        <vertAlign val="superscript"/>
        <sz val="11"/>
        <color theme="1"/>
        <rFont val="Calibri"/>
        <family val="2"/>
      </rPr>
      <t>1</t>
    </r>
  </si>
  <si>
    <r>
      <t>Projected Part B Professional Acute Day 6+ Cost Sharing</t>
    </r>
    <r>
      <rPr>
        <vertAlign val="superscript"/>
        <sz val="11"/>
        <color theme="1"/>
        <rFont val="Calibri"/>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</si>
</sst>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_);[Red]\(&quot;$&quot;#,##0\)"/>
    <numFmt numFmtId="8" formatCode="&quot;$&quot;#,##0.00_);[Red]\(&quot;$&quot;#,##0.00\)"/>
    <numFmt numFmtId="44" formatCode="_(&quot;$&quot;* #,##0.00_);_(&quot;$&quot;* \(#,##0.00\);_(&quot;$&quot;* &quot;-&quot;??_);_(@_)"/>
    <numFmt numFmtId="43" formatCode="_(* #,##0.00_);_(* \(#,##0.00\);_(* &quot;-&quot;??_);_(@_)"/>
    <numFmt numFmtId="164" formatCode="_(* #,##0_);_(* \(#,##0\);_(* &quot;-&quot;??_);_(@_)"/>
    <numFmt numFmtId="165" formatCode="&quot;$&quot;#,##0.00"/>
    <numFmt numFmtId="166" formatCode="&quot;$&quot;#,##0"/>
  </numFmts>
  <fonts count="29" x14ac:knownFonts="1">
    <font>
      <sz val="11"/>
      <color theme="1"/>
      <name val="Calibri"/>
      <family val="2"/>
      <scheme val="minor"/>
    </font>
    <font>
      <sz val="11"/>
      <color theme="1"/>
      <name val="Calibri"/>
      <family val="2"/>
    </font>
    <font>
      <sz val="11"/>
      <color theme="1"/>
      <name val="Calibri"/>
      <family val="2"/>
      <scheme val="minor"/>
    </font>
    <font>
      <sz val="11"/>
      <color rgb="FF000000"/>
      <name val="Calibri"/>
      <family val="2"/>
      <scheme val="minor"/>
    </font>
    <font>
      <sz val="10"/>
      <color rgb="FF000000"/>
      <name val="Arial"/>
      <family val="2"/>
    </font>
    <font>
      <sz val="11"/>
      <name val="Calibri"/>
      <family val="2"/>
      <scheme val="minor"/>
    </font>
    <font>
      <sz val="11"/>
      <color rgb="FFFF0000"/>
      <name val="Calibri"/>
      <family val="2"/>
      <scheme val="minor"/>
    </font>
    <font>
      <sz val="11"/>
      <color theme="1"/>
      <name val="Calibri"/>
      <family val="2"/>
    </font>
    <font>
      <sz val="11"/>
      <color rgb="FF000000"/>
      <name val="Calibri"/>
      <family val="2"/>
    </font>
    <font>
      <sz val="11"/>
      <name val="Calibri"/>
      <family val="2"/>
    </font>
    <font>
      <sz val="10"/>
      <color rgb="FF000000"/>
      <name val="Arial"/>
      <family val="2"/>
    </font>
    <font>
      <sz val="14"/>
      <color rgb="FF000000"/>
      <name val="Calibri"/>
      <family val="2"/>
    </font>
    <font>
      <sz val="14"/>
      <color theme="1"/>
      <name val="Times New Roman"/>
      <family val="1"/>
    </font>
    <font>
      <i/>
      <sz val="11"/>
      <color theme="1"/>
      <name val="Calibri"/>
      <family val="2"/>
    </font>
    <font>
      <i/>
      <sz val="11"/>
      <color theme="1"/>
      <name val="Calibri"/>
      <family val="2"/>
      <scheme val="minor"/>
    </font>
    <font>
      <sz val="14"/>
      <color theme="1"/>
      <name val="Calibri"/>
      <family val="2"/>
      <scheme val="minor"/>
    </font>
    <font>
      <vertAlign val="superscript"/>
      <sz val="11"/>
      <color theme="1"/>
      <name val="Calibri"/>
      <family val="2"/>
      <scheme val="minor"/>
    </font>
    <font>
      <vertAlign val="superscript"/>
      <sz val="14"/>
      <color theme="1"/>
      <name val="Calibri"/>
      <family val="2"/>
      <scheme val="minor"/>
    </font>
    <font>
      <sz val="14"/>
      <name val="Calibri"/>
      <family val="2"/>
      <scheme val="minor"/>
    </font>
    <font>
      <i/>
      <sz val="12"/>
      <color theme="1"/>
      <name val="Calibri"/>
      <family val="2"/>
      <scheme val="minor"/>
    </font>
    <font>
      <vertAlign val="superscript"/>
      <sz val="11"/>
      <name val="Calibri"/>
      <family val="2"/>
      <scheme val="minor"/>
    </font>
    <font>
      <sz val="14"/>
      <name val="Calibri"/>
      <family val="2"/>
    </font>
    <font>
      <vertAlign val="superscript"/>
      <sz val="14"/>
      <name val="Calibri"/>
      <family val="2"/>
      <scheme val="minor"/>
    </font>
    <font>
      <vertAlign val="superscript"/>
      <sz val="11"/>
      <color theme="1"/>
      <name val="Calibri"/>
      <family val="2"/>
    </font>
    <font>
      <vertAlign val="superscript"/>
      <sz val="11"/>
      <name val="Calibri"/>
      <family val="2"/>
    </font>
    <font>
      <b/>
      <sz val="11"/>
      <color rgb="FFFF0000"/>
      <name val="Calibri"/>
      <family val="2"/>
      <scheme val="minor"/>
    </font>
    <font>
      <b/>
      <sz val="11"/>
      <name val="Calibri"/>
      <family val="2"/>
      <scheme val="minor"/>
    </font>
    <font>
      <sz val="8"/>
      <name val="Calibri"/>
      <family val="2"/>
      <scheme val="minor"/>
    </font>
    <font>
      <vertAlign val="superscript"/>
      <sz val="11"/>
      <color rgb="FF000000"/>
      <name val="Calibri"/>
      <family val="2"/>
      <scheme val="minor"/>
    </font>
  </fonts>
  <fills count="7">
    <fill>
      <patternFill patternType="none"/>
    </fill>
    <fill>
      <patternFill patternType="gray125"/>
    </fill>
    <fill>
      <patternFill patternType="solid">
        <fgColor rgb="FFB9CDE5"/>
        <bgColor indexed="64"/>
      </patternFill>
    </fill>
    <fill>
      <patternFill patternType="solid">
        <fgColor theme="0"/>
        <bgColor indexed="64"/>
      </patternFill>
    </fill>
    <fill>
      <patternFill patternType="solid">
        <fgColor rgb="FF92D050"/>
        <bgColor indexed="64"/>
      </patternFill>
    </fill>
    <fill>
      <patternFill patternType="solid">
        <fgColor rgb="FFB4C6E7"/>
        <bgColor indexed="64"/>
      </patternFill>
    </fill>
    <fill>
      <patternFill patternType="solid">
        <fgColor theme="8"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11">
    <xf numFmtId="0" fontId="0" fillId="0" borderId="0"/>
    <xf numFmtId="44" fontId="2"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0" fontId="4" fillId="0" borderId="0"/>
    <xf numFmtId="9"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10" fillId="0" borderId="0"/>
    <xf numFmtId="9" fontId="10" fillId="0" borderId="0" applyFont="0" applyFill="0" applyBorder="0" applyAlignment="0" applyProtection="0"/>
    <xf numFmtId="0" fontId="4" fillId="0" borderId="0"/>
  </cellStyleXfs>
  <cellXfs count="203">
    <xf numFmtId="0" fontId="0" fillId="0" borderId="0" xfId="0"/>
    <xf numFmtId="0" fontId="0" fillId="0" borderId="0" xfId="0" applyAlignment="1">
      <alignment wrapText="1"/>
    </xf>
    <xf numFmtId="8" fontId="0" fillId="0" borderId="0" xfId="0" applyNumberFormat="1"/>
    <xf numFmtId="6" fontId="0" fillId="0" borderId="0" xfId="0" applyNumberFormat="1"/>
    <xf numFmtId="0" fontId="6" fillId="0" borderId="0" xfId="0" applyFont="1"/>
    <xf numFmtId="0" fontId="0" fillId="0" borderId="0" xfId="0" applyAlignment="1">
      <alignment horizontal="left" vertical="top" wrapText="1"/>
    </xf>
    <xf numFmtId="0" fontId="7" fillId="0" borderId="0" xfId="0" applyFont="1" applyAlignment="1">
      <alignment wrapText="1"/>
    </xf>
    <xf numFmtId="165" fontId="8" fillId="0" borderId="0" xfId="1" applyNumberFormat="1" applyFont="1" applyBorder="1" applyAlignment="1">
      <alignment wrapText="1"/>
    </xf>
    <xf numFmtId="165" fontId="8" fillId="0" borderId="0" xfId="1" applyNumberFormat="1" applyFont="1" applyBorder="1" applyAlignment="1">
      <alignment horizontal="center" wrapText="1"/>
    </xf>
    <xf numFmtId="165" fontId="8" fillId="0" borderId="6" xfId="1" applyNumberFormat="1" applyFont="1" applyBorder="1" applyAlignment="1">
      <alignment wrapText="1"/>
    </xf>
    <xf numFmtId="0" fontId="0" fillId="6" borderId="1" xfId="0" applyFill="1" applyBorder="1" applyAlignment="1">
      <alignment horizontal="center" vertical="top" wrapText="1"/>
    </xf>
    <xf numFmtId="0" fontId="0" fillId="4" borderId="1" xfId="0" applyFill="1" applyBorder="1" applyAlignment="1">
      <alignment horizontal="left" vertical="top" wrapText="1"/>
    </xf>
    <xf numFmtId="0" fontId="0" fillId="0" borderId="13" xfId="0" applyBorder="1" applyAlignment="1">
      <alignment horizontal="left" vertical="top" wrapText="1"/>
    </xf>
    <xf numFmtId="0" fontId="0" fillId="0" borderId="13" xfId="0" applyBorder="1" applyAlignment="1">
      <alignment horizontal="center" vertical="top" wrapText="1"/>
    </xf>
    <xf numFmtId="0" fontId="0" fillId="0" borderId="10" xfId="0" applyBorder="1" applyAlignment="1">
      <alignment horizontal="center" vertical="top" wrapText="1"/>
    </xf>
    <xf numFmtId="0" fontId="0" fillId="0" borderId="10" xfId="0" applyBorder="1" applyAlignment="1">
      <alignment horizontal="left"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0" borderId="17" xfId="0" applyBorder="1" applyAlignment="1">
      <alignment horizontal="center" vertical="top" wrapText="1"/>
    </xf>
    <xf numFmtId="0" fontId="0" fillId="0" borderId="14" xfId="0" applyBorder="1" applyAlignment="1">
      <alignment horizontal="left" vertical="top" wrapText="1"/>
    </xf>
    <xf numFmtId="0" fontId="5" fillId="0" borderId="10" xfId="0" applyFont="1" applyBorder="1" applyAlignment="1">
      <alignment horizontal="left" vertical="top" wrapText="1"/>
    </xf>
    <xf numFmtId="0" fontId="5" fillId="0" borderId="13" xfId="0" applyFont="1" applyBorder="1" applyAlignment="1">
      <alignment horizontal="left" vertical="top" wrapText="1"/>
    </xf>
    <xf numFmtId="165" fontId="8" fillId="0" borderId="12" xfId="1" applyNumberFormat="1" applyFont="1" applyBorder="1" applyAlignment="1">
      <alignment wrapText="1"/>
    </xf>
    <xf numFmtId="165" fontId="8" fillId="0" borderId="12" xfId="1" applyNumberFormat="1" applyFont="1" applyFill="1" applyBorder="1" applyAlignment="1">
      <alignment wrapText="1"/>
    </xf>
    <xf numFmtId="165" fontId="8" fillId="0" borderId="7" xfId="1" applyNumberFormat="1" applyFont="1" applyBorder="1" applyAlignment="1">
      <alignment wrapText="1"/>
    </xf>
    <xf numFmtId="165" fontId="8" fillId="0" borderId="8" xfId="1" applyNumberFormat="1" applyFont="1" applyBorder="1" applyAlignment="1">
      <alignment wrapText="1"/>
    </xf>
    <xf numFmtId="165" fontId="8" fillId="0" borderId="2" xfId="1" applyNumberFormat="1" applyFont="1" applyBorder="1" applyAlignment="1">
      <alignment wrapText="1"/>
    </xf>
    <xf numFmtId="165" fontId="8" fillId="0" borderId="11" xfId="1" applyNumberFormat="1" applyFont="1" applyBorder="1" applyAlignment="1">
      <alignment wrapText="1"/>
    </xf>
    <xf numFmtId="165" fontId="8" fillId="0" borderId="9" xfId="1" applyNumberFormat="1" applyFont="1" applyFill="1" applyBorder="1" applyAlignment="1">
      <alignment wrapText="1"/>
    </xf>
    <xf numFmtId="10" fontId="0" fillId="0" borderId="0" xfId="3" applyNumberFormat="1" applyFont="1" applyAlignment="1">
      <alignment horizontal="left" vertical="top" wrapText="1"/>
    </xf>
    <xf numFmtId="0" fontId="0" fillId="0" borderId="0" xfId="0" applyAlignment="1">
      <alignment horizontal="left" wrapText="1"/>
    </xf>
    <xf numFmtId="9" fontId="0" fillId="0" borderId="13" xfId="0" applyNumberFormat="1" applyBorder="1"/>
    <xf numFmtId="8" fontId="0" fillId="0" borderId="13" xfId="0" applyNumberFormat="1" applyBorder="1"/>
    <xf numFmtId="8" fontId="0" fillId="0" borderId="14" xfId="0" applyNumberFormat="1" applyBorder="1"/>
    <xf numFmtId="0" fontId="15" fillId="2" borderId="14" xfId="0" applyFont="1" applyFill="1" applyBorder="1" applyAlignment="1">
      <alignment vertical="top" wrapText="1"/>
    </xf>
    <xf numFmtId="0" fontId="18" fillId="2" borderId="1" xfId="0" applyFont="1" applyFill="1" applyBorder="1" applyAlignment="1">
      <alignment vertical="top" wrapText="1"/>
    </xf>
    <xf numFmtId="0" fontId="15" fillId="2" borderId="1" xfId="0" applyFont="1" applyFill="1" applyBorder="1" applyAlignment="1">
      <alignment vertical="top" wrapText="1"/>
    </xf>
    <xf numFmtId="165" fontId="3" fillId="0" borderId="1" xfId="0" applyNumberFormat="1" applyFont="1" applyBorder="1" applyAlignment="1">
      <alignment horizontal="center" wrapText="1"/>
    </xf>
    <xf numFmtId="10" fontId="3" fillId="0" borderId="1" xfId="3" applyNumberFormat="1" applyFont="1" applyBorder="1" applyAlignment="1">
      <alignment horizontal="center" wrapText="1"/>
    </xf>
    <xf numFmtId="4" fontId="5" fillId="0" borderId="0" xfId="0" applyNumberFormat="1" applyFont="1" applyAlignment="1">
      <alignment horizontal="center" wrapText="1"/>
    </xf>
    <xf numFmtId="165" fontId="0" fillId="0" borderId="0" xfId="0" applyNumberFormat="1"/>
    <xf numFmtId="0" fontId="0" fillId="4" borderId="1" xfId="0" applyFill="1" applyBorder="1" applyAlignment="1">
      <alignment horizontal="center" vertical="top" wrapText="1"/>
    </xf>
    <xf numFmtId="8" fontId="8" fillId="4" borderId="1" xfId="1" applyNumberFormat="1" applyFont="1" applyFill="1" applyBorder="1" applyAlignment="1">
      <alignment wrapText="1"/>
    </xf>
    <xf numFmtId="165" fontId="8" fillId="4" borderId="1" xfId="1" applyNumberFormat="1" applyFont="1" applyFill="1" applyBorder="1" applyAlignment="1">
      <alignment wrapText="1"/>
    </xf>
    <xf numFmtId="8" fontId="8" fillId="4" borderId="10" xfId="1" applyNumberFormat="1" applyFont="1" applyFill="1" applyBorder="1" applyAlignment="1">
      <alignment wrapText="1"/>
    </xf>
    <xf numFmtId="0" fontId="0" fillId="4" borderId="10" xfId="0" applyFill="1" applyBorder="1" applyAlignment="1">
      <alignment horizontal="center" vertical="top" wrapText="1"/>
    </xf>
    <xf numFmtId="0" fontId="0" fillId="4" borderId="10" xfId="0" applyFill="1" applyBorder="1" applyAlignment="1">
      <alignment horizontal="left" vertical="top" wrapText="1"/>
    </xf>
    <xf numFmtId="165" fontId="8" fillId="0" borderId="12" xfId="1" applyNumberFormat="1" applyFont="1" applyFill="1" applyBorder="1" applyAlignment="1">
      <alignment horizontal="center" wrapText="1"/>
    </xf>
    <xf numFmtId="0" fontId="5" fillId="4" borderId="1" xfId="0" applyFont="1" applyFill="1" applyBorder="1" applyAlignment="1">
      <alignment horizontal="left" vertical="top" wrapText="1"/>
    </xf>
    <xf numFmtId="4" fontId="5" fillId="0" borderId="6" xfId="0" applyNumberFormat="1" applyFont="1" applyBorder="1" applyAlignment="1">
      <alignment horizontal="center" wrapText="1"/>
    </xf>
    <xf numFmtId="165" fontId="8" fillId="0" borderId="12" xfId="1" applyNumberFormat="1" applyFont="1" applyBorder="1" applyAlignment="1">
      <alignment horizontal="center" wrapText="1"/>
    </xf>
    <xf numFmtId="8" fontId="0" fillId="0" borderId="14" xfId="0" applyNumberFormat="1" applyBorder="1" applyAlignment="1">
      <alignment horizontal="right" wrapText="1"/>
    </xf>
    <xf numFmtId="8" fontId="0" fillId="0" borderId="13" xfId="0" applyNumberFormat="1" applyBorder="1" applyAlignment="1">
      <alignment horizontal="right" wrapText="1"/>
    </xf>
    <xf numFmtId="8" fontId="5" fillId="0" borderId="13" xfId="0" applyNumberFormat="1" applyFont="1" applyBorder="1" applyAlignment="1">
      <alignment horizontal="right" wrapText="1"/>
    </xf>
    <xf numFmtId="8" fontId="0" fillId="0" borderId="10" xfId="0" applyNumberFormat="1" applyBorder="1" applyAlignment="1">
      <alignment horizontal="right" wrapText="1"/>
    </xf>
    <xf numFmtId="0" fontId="0" fillId="4" borderId="1" xfId="0" applyFill="1" applyBorder="1" applyAlignment="1">
      <alignment horizontal="right" wrapText="1"/>
    </xf>
    <xf numFmtId="8" fontId="0" fillId="4" borderId="1" xfId="0" applyNumberFormat="1" applyFill="1" applyBorder="1" applyAlignment="1">
      <alignment horizontal="right" wrapText="1"/>
    </xf>
    <xf numFmtId="10" fontId="0" fillId="0" borderId="13" xfId="3" applyNumberFormat="1" applyFont="1" applyBorder="1" applyAlignment="1">
      <alignment horizontal="right" wrapText="1"/>
    </xf>
    <xf numFmtId="10" fontId="0" fillId="0" borderId="13" xfId="3" applyNumberFormat="1" applyFont="1" applyBorder="1" applyAlignment="1">
      <alignment horizontal="center" wrapText="1"/>
    </xf>
    <xf numFmtId="10" fontId="0" fillId="0" borderId="10" xfId="3" applyNumberFormat="1" applyFont="1" applyBorder="1" applyAlignment="1">
      <alignment horizontal="right" wrapText="1"/>
    </xf>
    <xf numFmtId="8" fontId="0" fillId="0" borderId="13" xfId="3" applyNumberFormat="1" applyFont="1" applyBorder="1" applyAlignment="1">
      <alignment horizontal="right" wrapText="1"/>
    </xf>
    <xf numFmtId="8" fontId="0" fillId="0" borderId="13" xfId="0" applyNumberFormat="1" applyBorder="1" applyAlignment="1">
      <alignment horizontal="center" wrapText="1"/>
    </xf>
    <xf numFmtId="8" fontId="0" fillId="0" borderId="10" xfId="3" applyNumberFormat="1" applyFont="1" applyBorder="1" applyAlignment="1">
      <alignment horizontal="right" wrapText="1"/>
    </xf>
    <xf numFmtId="0" fontId="7" fillId="2" borderId="13" xfId="0" applyFont="1" applyFill="1" applyBorder="1" applyAlignment="1">
      <alignment horizontal="center" vertical="top" wrapText="1"/>
    </xf>
    <xf numFmtId="0" fontId="7" fillId="2" borderId="10" xfId="0" applyFont="1" applyFill="1" applyBorder="1" applyAlignment="1">
      <alignment horizontal="center" vertical="top" wrapText="1"/>
    </xf>
    <xf numFmtId="0" fontId="7" fillId="0" borderId="14" xfId="0" applyFont="1" applyBorder="1" applyAlignment="1">
      <alignment horizontal="center" vertical="top" wrapText="1"/>
    </xf>
    <xf numFmtId="0" fontId="7" fillId="0" borderId="12" xfId="0" applyFont="1" applyBorder="1" applyAlignment="1">
      <alignment vertical="top" wrapText="1"/>
    </xf>
    <xf numFmtId="0" fontId="7" fillId="0" borderId="13" xfId="0" applyFont="1" applyBorder="1" applyAlignment="1">
      <alignment horizontal="center" vertical="top" wrapText="1"/>
    </xf>
    <xf numFmtId="0" fontId="7" fillId="0" borderId="10" xfId="0" applyFont="1" applyBorder="1" applyAlignment="1">
      <alignment horizontal="center" vertical="top" wrapText="1"/>
    </xf>
    <xf numFmtId="0" fontId="7" fillId="0" borderId="9" xfId="0" applyFont="1" applyBorder="1" applyAlignment="1">
      <alignment vertical="top" wrapText="1"/>
    </xf>
    <xf numFmtId="0" fontId="7" fillId="2" borderId="12" xfId="0" applyFont="1" applyFill="1" applyBorder="1" applyAlignment="1">
      <alignment horizontal="center" vertical="top" wrapText="1"/>
    </xf>
    <xf numFmtId="0" fontId="7" fillId="0" borderId="14" xfId="0" applyFont="1" applyBorder="1" applyAlignment="1">
      <alignment vertical="top" wrapText="1"/>
    </xf>
    <xf numFmtId="0" fontId="9" fillId="0" borderId="13" xfId="0" applyFont="1" applyBorder="1" applyAlignment="1">
      <alignment vertical="top" wrapText="1"/>
    </xf>
    <xf numFmtId="0" fontId="7" fillId="0" borderId="12" xfId="0" applyFont="1" applyBorder="1" applyAlignment="1">
      <alignment horizontal="center" vertical="top" wrapText="1"/>
    </xf>
    <xf numFmtId="0" fontId="7" fillId="0" borderId="13" xfId="0" applyFont="1" applyBorder="1" applyAlignment="1">
      <alignment vertical="top" wrapText="1"/>
    </xf>
    <xf numFmtId="0" fontId="7" fillId="4" borderId="4" xfId="0" applyFont="1" applyFill="1" applyBorder="1" applyAlignment="1">
      <alignment horizontal="center" vertical="top" wrapText="1"/>
    </xf>
    <xf numFmtId="0" fontId="7" fillId="4" borderId="1" xfId="0" applyFont="1" applyFill="1" applyBorder="1" applyAlignment="1">
      <alignment vertical="top" wrapText="1"/>
    </xf>
    <xf numFmtId="0" fontId="7" fillId="2" borderId="1" xfId="0" applyFont="1" applyFill="1" applyBorder="1" applyAlignment="1">
      <alignment horizontal="center" vertical="top" wrapText="1"/>
    </xf>
    <xf numFmtId="0" fontId="7" fillId="2" borderId="8" xfId="0" applyFont="1" applyFill="1" applyBorder="1" applyAlignment="1">
      <alignment horizontal="center" vertical="top" wrapText="1"/>
    </xf>
    <xf numFmtId="0" fontId="7" fillId="4" borderId="1" xfId="0" applyFont="1" applyFill="1" applyBorder="1" applyAlignment="1">
      <alignment horizontal="center" vertical="top" wrapText="1"/>
    </xf>
    <xf numFmtId="0" fontId="7" fillId="4" borderId="4" xfId="0" applyFont="1" applyFill="1" applyBorder="1" applyAlignment="1">
      <alignment vertical="top" wrapText="1"/>
    </xf>
    <xf numFmtId="0" fontId="7" fillId="0" borderId="9" xfId="0" applyFont="1" applyBorder="1" applyAlignment="1">
      <alignment horizontal="center" vertical="top" wrapText="1"/>
    </xf>
    <xf numFmtId="0" fontId="7" fillId="4" borderId="10" xfId="0" applyFont="1" applyFill="1" applyBorder="1" applyAlignment="1">
      <alignment horizontal="center" vertical="top" wrapText="1"/>
    </xf>
    <xf numFmtId="0" fontId="7" fillId="4" borderId="9" xfId="0" applyFont="1" applyFill="1" applyBorder="1" applyAlignment="1">
      <alignment vertical="top" wrapText="1"/>
    </xf>
    <xf numFmtId="8" fontId="0" fillId="4" borderId="10" xfId="0" applyNumberFormat="1" applyFill="1" applyBorder="1" applyAlignment="1">
      <alignment horizontal="right" wrapText="1"/>
    </xf>
    <xf numFmtId="0" fontId="15" fillId="2" borderId="1" xfId="0" applyFont="1" applyFill="1" applyBorder="1" applyAlignment="1">
      <alignment horizontal="center" vertical="top"/>
    </xf>
    <xf numFmtId="0" fontId="0" fillId="0" borderId="13" xfId="0" applyBorder="1" applyAlignment="1">
      <alignment horizontal="center" vertical="top"/>
    </xf>
    <xf numFmtId="0" fontId="0" fillId="0" borderId="13" xfId="0" applyBorder="1" applyAlignment="1">
      <alignment vertical="top" wrapText="1"/>
    </xf>
    <xf numFmtId="0" fontId="0" fillId="0" borderId="14" xfId="0" applyBorder="1" applyAlignment="1">
      <alignment vertical="top" wrapText="1"/>
    </xf>
    <xf numFmtId="0" fontId="4" fillId="2" borderId="1" xfId="10" applyFill="1" applyBorder="1" applyAlignment="1">
      <alignment horizontal="center" vertical="top" wrapText="1"/>
    </xf>
    <xf numFmtId="0" fontId="3" fillId="2" borderId="1" xfId="0" applyFont="1" applyFill="1" applyBorder="1" applyAlignment="1">
      <alignment horizontal="center" vertical="top" wrapText="1"/>
    </xf>
    <xf numFmtId="0" fontId="5" fillId="0" borderId="13" xfId="0" applyFont="1" applyBorder="1" applyAlignment="1">
      <alignment vertical="top" wrapText="1"/>
    </xf>
    <xf numFmtId="0" fontId="17" fillId="2" borderId="1" xfId="0" applyFont="1" applyFill="1" applyBorder="1" applyAlignment="1">
      <alignment horizontal="center" vertical="top"/>
    </xf>
    <xf numFmtId="0" fontId="0" fillId="0" borderId="11" xfId="0" applyBorder="1" applyAlignment="1">
      <alignment vertical="top" wrapText="1"/>
    </xf>
    <xf numFmtId="0" fontId="3" fillId="2" borderId="1" xfId="0" applyFont="1" applyFill="1" applyBorder="1" applyAlignment="1">
      <alignment vertical="top" wrapText="1"/>
    </xf>
    <xf numFmtId="9" fontId="3" fillId="3" borderId="1" xfId="0" applyNumberFormat="1" applyFont="1" applyFill="1" applyBorder="1" applyAlignment="1">
      <alignment horizontal="left" vertical="top" wrapText="1"/>
    </xf>
    <xf numFmtId="0" fontId="0" fillId="0" borderId="1" xfId="0" applyBorder="1" applyAlignment="1">
      <alignment vertical="top" wrapText="1"/>
    </xf>
    <xf numFmtId="0" fontId="5" fillId="0" borderId="14" xfId="0" applyFont="1" applyBorder="1" applyAlignment="1">
      <alignment vertical="top" wrapText="1"/>
    </xf>
    <xf numFmtId="0" fontId="0" fillId="0" borderId="10" xfId="0" applyBorder="1" applyAlignment="1">
      <alignment vertical="top" wrapText="1"/>
    </xf>
    <xf numFmtId="0" fontId="0" fillId="0" borderId="0" xfId="0" applyAlignment="1">
      <alignment horizontal="center" vertical="top"/>
    </xf>
    <xf numFmtId="0" fontId="0" fillId="0" borderId="9" xfId="0" applyBorder="1" applyAlignment="1">
      <alignment horizontal="center" vertical="top"/>
    </xf>
    <xf numFmtId="9" fontId="5" fillId="3" borderId="1" xfId="0" applyNumberFormat="1" applyFont="1" applyFill="1" applyBorder="1" applyAlignment="1">
      <alignment horizontal="left" vertical="top" wrapText="1"/>
    </xf>
    <xf numFmtId="0" fontId="0" fillId="0" borderId="8" xfId="0" applyBorder="1" applyAlignment="1">
      <alignment horizontal="center" vertical="top"/>
    </xf>
    <xf numFmtId="0" fontId="0" fillId="0" borderId="12" xfId="0" applyBorder="1" applyAlignment="1">
      <alignment horizontal="center" vertical="top"/>
    </xf>
    <xf numFmtId="0" fontId="0" fillId="0" borderId="0" xfId="0" applyAlignment="1">
      <alignment vertical="top"/>
    </xf>
    <xf numFmtId="0" fontId="5" fillId="0" borderId="11" xfId="0" applyFont="1" applyBorder="1" applyAlignment="1">
      <alignment vertical="top" wrapText="1"/>
    </xf>
    <xf numFmtId="0" fontId="19" fillId="2" borderId="1" xfId="0" applyFont="1" applyFill="1" applyBorder="1" applyAlignment="1">
      <alignment horizontal="left" vertical="top"/>
    </xf>
    <xf numFmtId="0" fontId="19" fillId="2" borderId="5" xfId="0" applyFont="1" applyFill="1" applyBorder="1" applyAlignment="1">
      <alignment horizontal="left" vertical="top"/>
    </xf>
    <xf numFmtId="0" fontId="19" fillId="2" borderId="3" xfId="0" applyFont="1" applyFill="1" applyBorder="1" applyAlignment="1">
      <alignment horizontal="left" vertical="top"/>
    </xf>
    <xf numFmtId="0" fontId="19" fillId="2" borderId="4" xfId="0" applyFont="1" applyFill="1" applyBorder="1" applyAlignment="1">
      <alignment horizontal="left" vertical="top"/>
    </xf>
    <xf numFmtId="0" fontId="15" fillId="5" borderId="1" xfId="0" applyFont="1" applyFill="1" applyBorder="1" applyAlignment="1">
      <alignment horizontal="centerContinuous" vertical="top" wrapText="1"/>
    </xf>
    <xf numFmtId="0" fontId="11" fillId="2" borderId="1" xfId="0" applyFont="1" applyFill="1" applyBorder="1" applyAlignment="1">
      <alignment horizontal="centerContinuous" vertical="top" wrapText="1"/>
    </xf>
    <xf numFmtId="0" fontId="21" fillId="2" borderId="1" xfId="0" applyFont="1" applyFill="1" applyBorder="1" applyAlignment="1">
      <alignment horizontal="centerContinuous" vertical="top" wrapText="1"/>
    </xf>
    <xf numFmtId="165" fontId="8" fillId="0" borderId="0" xfId="1" applyNumberFormat="1" applyFont="1" applyBorder="1" applyAlignment="1">
      <alignment horizontal="centerContinuous" wrapText="1"/>
    </xf>
    <xf numFmtId="165" fontId="8" fillId="0" borderId="12" xfId="1" applyNumberFormat="1" applyFont="1" applyBorder="1" applyAlignment="1">
      <alignment horizontal="centerContinuous" wrapText="1"/>
    </xf>
    <xf numFmtId="165" fontId="8" fillId="0" borderId="7" xfId="1" applyNumberFormat="1" applyFont="1" applyBorder="1" applyAlignment="1">
      <alignment horizontal="centerContinuous" wrapText="1"/>
    </xf>
    <xf numFmtId="165" fontId="8" fillId="0" borderId="6" xfId="1" applyNumberFormat="1" applyFont="1" applyBorder="1" applyAlignment="1">
      <alignment horizontal="centerContinuous" wrapText="1"/>
    </xf>
    <xf numFmtId="165" fontId="8" fillId="0" borderId="8" xfId="1" applyNumberFormat="1" applyFont="1" applyBorder="1" applyAlignment="1">
      <alignment horizontal="centerContinuous" wrapText="1"/>
    </xf>
    <xf numFmtId="8" fontId="8" fillId="0" borderId="11" xfId="1" applyNumberFormat="1" applyFont="1" applyBorder="1" applyAlignment="1">
      <alignment horizontal="centerContinuous" wrapText="1"/>
    </xf>
    <xf numFmtId="44" fontId="8" fillId="0" borderId="0" xfId="1" applyFont="1" applyBorder="1" applyAlignment="1">
      <alignment horizontal="centerContinuous" wrapText="1"/>
    </xf>
    <xf numFmtId="44" fontId="8" fillId="0" borderId="12" xfId="1" applyFont="1" applyBorder="1" applyAlignment="1">
      <alignment horizontal="centerContinuous" wrapText="1"/>
    </xf>
    <xf numFmtId="165" fontId="8" fillId="0" borderId="11" xfId="1" applyNumberFormat="1" applyFont="1" applyBorder="1" applyAlignment="1">
      <alignment horizontal="centerContinuous" wrapText="1"/>
    </xf>
    <xf numFmtId="0" fontId="7" fillId="0" borderId="0" xfId="0" applyFont="1" applyAlignment="1">
      <alignment horizontal="centerContinuous" vertical="top" wrapText="1"/>
    </xf>
    <xf numFmtId="0" fontId="11" fillId="2" borderId="5" xfId="0" applyFont="1" applyFill="1" applyBorder="1" applyAlignment="1">
      <alignment horizontal="centerContinuous" vertical="top" wrapText="1"/>
    </xf>
    <xf numFmtId="0" fontId="11" fillId="2" borderId="3" xfId="0" applyFont="1" applyFill="1" applyBorder="1" applyAlignment="1">
      <alignment horizontal="centerContinuous" vertical="top" wrapText="1"/>
    </xf>
    <xf numFmtId="0" fontId="11" fillId="2" borderId="4" xfId="0" applyFont="1" applyFill="1" applyBorder="1" applyAlignment="1">
      <alignment horizontal="centerContinuous" vertical="top" wrapText="1"/>
    </xf>
    <xf numFmtId="0" fontId="15" fillId="2" borderId="1" xfId="0" applyFont="1" applyFill="1" applyBorder="1" applyAlignment="1">
      <alignment horizontal="centerContinuous" vertical="top"/>
    </xf>
    <xf numFmtId="0" fontId="0" fillId="2" borderId="1" xfId="0" applyFill="1" applyBorder="1" applyAlignment="1">
      <alignment horizontal="centerContinuous" vertical="top"/>
    </xf>
    <xf numFmtId="8" fontId="0" fillId="0" borderId="1" xfId="0" applyNumberFormat="1" applyBorder="1" applyAlignment="1">
      <alignment horizontal="centerContinuous"/>
    </xf>
    <xf numFmtId="0" fontId="0" fillId="0" borderId="6" xfId="0" applyBorder="1" applyAlignment="1">
      <alignment horizontal="centerContinuous" vertical="top" wrapText="1"/>
    </xf>
    <xf numFmtId="0" fontId="0" fillId="0" borderId="0" xfId="0" applyAlignment="1">
      <alignment horizontal="centerContinuous" vertical="top" wrapText="1"/>
    </xf>
    <xf numFmtId="0" fontId="12" fillId="5" borderId="4" xfId="0" applyFont="1" applyFill="1" applyBorder="1" applyAlignment="1">
      <alignment horizontal="centerContinuous" vertical="top" wrapText="1"/>
    </xf>
    <xf numFmtId="0" fontId="15" fillId="5" borderId="5" xfId="0" applyFont="1" applyFill="1" applyBorder="1" applyAlignment="1">
      <alignment horizontal="centerContinuous" vertical="top" wrapText="1"/>
    </xf>
    <xf numFmtId="0" fontId="15" fillId="5" borderId="3" xfId="0" applyFont="1" applyFill="1" applyBorder="1" applyAlignment="1">
      <alignment horizontal="centerContinuous" vertical="top" wrapText="1"/>
    </xf>
    <xf numFmtId="0" fontId="15" fillId="2" borderId="5" xfId="0" applyFont="1" applyFill="1" applyBorder="1" applyAlignment="1">
      <alignment horizontal="centerContinuous" vertical="top" wrapText="1"/>
    </xf>
    <xf numFmtId="0" fontId="15" fillId="2" borderId="4" xfId="0" applyFont="1" applyFill="1" applyBorder="1" applyAlignment="1">
      <alignment horizontal="centerContinuous" vertical="top" wrapText="1"/>
    </xf>
    <xf numFmtId="0" fontId="15" fillId="2" borderId="5" xfId="0" applyFont="1" applyFill="1" applyBorder="1" applyAlignment="1">
      <alignment horizontal="centerContinuous" vertical="top"/>
    </xf>
    <xf numFmtId="0" fontId="15" fillId="2" borderId="3" xfId="0" applyFont="1" applyFill="1" applyBorder="1" applyAlignment="1">
      <alignment horizontal="centerContinuous" vertical="top"/>
    </xf>
    <xf numFmtId="0" fontId="15" fillId="2" borderId="4" xfId="0" applyFont="1" applyFill="1" applyBorder="1" applyAlignment="1">
      <alignment horizontal="centerContinuous" vertical="top"/>
    </xf>
    <xf numFmtId="0" fontId="18" fillId="2" borderId="5" xfId="0" applyFont="1" applyFill="1" applyBorder="1" applyAlignment="1">
      <alignment horizontal="centerContinuous" vertical="top" wrapText="1"/>
    </xf>
    <xf numFmtId="0" fontId="18" fillId="2" borderId="3" xfId="0" applyFont="1" applyFill="1" applyBorder="1" applyAlignment="1">
      <alignment horizontal="centerContinuous" vertical="top" wrapText="1"/>
    </xf>
    <xf numFmtId="0" fontId="18" fillId="2" borderId="4" xfId="0" applyFont="1" applyFill="1" applyBorder="1" applyAlignment="1">
      <alignment horizontal="centerContinuous" vertical="top" wrapText="1"/>
    </xf>
    <xf numFmtId="8" fontId="0" fillId="0" borderId="10" xfId="0" applyNumberFormat="1" applyBorder="1" applyAlignment="1">
      <alignment horizontal="centerContinuous"/>
    </xf>
    <xf numFmtId="0" fontId="18" fillId="2" borderId="1" xfId="0" applyFont="1" applyFill="1" applyBorder="1" applyAlignment="1">
      <alignment horizontal="centerContinuous" vertical="top" wrapText="1"/>
    </xf>
    <xf numFmtId="9" fontId="3" fillId="3" borderId="5" xfId="0" applyNumberFormat="1" applyFont="1" applyFill="1" applyBorder="1" applyAlignment="1">
      <alignment horizontal="centerContinuous" vertical="top" wrapText="1"/>
    </xf>
    <xf numFmtId="0" fontId="25" fillId="0" borderId="0" xfId="0" applyFont="1" applyAlignment="1">
      <alignment wrapText="1"/>
    </xf>
    <xf numFmtId="0" fontId="6" fillId="0" borderId="7" xfId="0" applyFont="1" applyBorder="1" applyAlignment="1">
      <alignment vertical="top" wrapText="1"/>
    </xf>
    <xf numFmtId="0" fontId="6" fillId="0" borderId="6" xfId="0" applyFont="1" applyBorder="1" applyAlignment="1">
      <alignment vertical="top" wrapText="1"/>
    </xf>
    <xf numFmtId="0" fontId="5" fillId="0" borderId="6" xfId="0" applyFont="1" applyBorder="1" applyAlignment="1">
      <alignment horizontal="centerContinuous" vertical="top" wrapText="1"/>
    </xf>
    <xf numFmtId="165" fontId="9" fillId="0" borderId="14" xfId="1" applyNumberFormat="1" applyFont="1" applyFill="1" applyBorder="1" applyAlignment="1">
      <alignment horizontal="center" wrapText="1"/>
    </xf>
    <xf numFmtId="165" fontId="5" fillId="0" borderId="13" xfId="1" applyNumberFormat="1" applyFont="1" applyFill="1" applyBorder="1" applyAlignment="1">
      <alignment horizontal="center" wrapText="1"/>
    </xf>
    <xf numFmtId="165" fontId="5" fillId="0" borderId="10" xfId="1" applyNumberFormat="1" applyFont="1" applyFill="1" applyBorder="1" applyAlignment="1">
      <alignment horizontal="center" wrapText="1"/>
    </xf>
    <xf numFmtId="0" fontId="9" fillId="0" borderId="6" xfId="0" applyFont="1" applyBorder="1" applyAlignment="1">
      <alignment horizontal="centerContinuous" vertical="top" wrapText="1"/>
    </xf>
    <xf numFmtId="0" fontId="7" fillId="0" borderId="14" xfId="0" applyFont="1" applyBorder="1" applyAlignment="1">
      <alignment horizontal="center" wrapText="1"/>
    </xf>
    <xf numFmtId="0" fontId="7" fillId="0" borderId="12" xfId="0" applyFont="1" applyBorder="1" applyAlignment="1">
      <alignment wrapText="1"/>
    </xf>
    <xf numFmtId="0" fontId="5" fillId="0" borderId="6" xfId="0" applyFont="1" applyBorder="1" applyAlignment="1">
      <alignment horizontal="centerContinuous" wrapText="1"/>
    </xf>
    <xf numFmtId="9" fontId="3" fillId="0" borderId="1" xfId="0" applyNumberFormat="1" applyFont="1" applyBorder="1" applyAlignment="1">
      <alignment horizontal="left" vertical="top" wrapText="1"/>
    </xf>
    <xf numFmtId="6" fontId="2" fillId="0" borderId="1" xfId="2" applyNumberFormat="1" applyFont="1" applyFill="1" applyBorder="1" applyAlignment="1">
      <alignment horizontal="center" wrapText="1"/>
    </xf>
    <xf numFmtId="8" fontId="0" fillId="0" borderId="1" xfId="0" applyNumberFormat="1" applyBorder="1"/>
    <xf numFmtId="0" fontId="5" fillId="0" borderId="0" xfId="0" applyFont="1" applyAlignment="1">
      <alignment horizontal="centerContinuous" vertical="top" wrapText="1"/>
    </xf>
    <xf numFmtId="165" fontId="0" fillId="0" borderId="8" xfId="0" applyNumberFormat="1" applyBorder="1" applyAlignment="1">
      <alignment wrapText="1"/>
    </xf>
    <xf numFmtId="165" fontId="0" fillId="0" borderId="12" xfId="0" applyNumberFormat="1" applyBorder="1" applyAlignment="1">
      <alignment wrapText="1"/>
    </xf>
    <xf numFmtId="0" fontId="5" fillId="0" borderId="10" xfId="0" applyFont="1" applyBorder="1" applyAlignment="1">
      <alignment vertical="top" wrapText="1"/>
    </xf>
    <xf numFmtId="165" fontId="0" fillId="0" borderId="1" xfId="0" applyNumberFormat="1" applyBorder="1" applyAlignment="1">
      <alignment wrapText="1"/>
    </xf>
    <xf numFmtId="164" fontId="2" fillId="0" borderId="1" xfId="2" applyNumberFormat="1" applyFill="1" applyBorder="1" applyAlignment="1">
      <alignment wrapText="1"/>
    </xf>
    <xf numFmtId="6" fontId="5" fillId="0" borderId="1" xfId="2" applyNumberFormat="1" applyFont="1" applyFill="1" applyBorder="1" applyAlignment="1">
      <alignment horizontal="center" wrapText="1"/>
    </xf>
    <xf numFmtId="9" fontId="3" fillId="0" borderId="4" xfId="0" applyNumberFormat="1" applyFont="1" applyBorder="1" applyAlignment="1">
      <alignment horizontal="centerContinuous" vertical="top" wrapText="1"/>
    </xf>
    <xf numFmtId="9" fontId="5" fillId="0" borderId="0" xfId="0" applyNumberFormat="1" applyFont="1" applyAlignment="1">
      <alignment horizontal="centerContinuous" vertical="top" wrapText="1"/>
    </xf>
    <xf numFmtId="9" fontId="3" fillId="0" borderId="0" xfId="0" applyNumberFormat="1" applyFont="1" applyAlignment="1">
      <alignment horizontal="left" vertical="top" wrapText="1"/>
    </xf>
    <xf numFmtId="6" fontId="5" fillId="0" borderId="13" xfId="2" applyNumberFormat="1" applyFont="1" applyFill="1" applyBorder="1" applyAlignment="1">
      <alignment horizontal="center" wrapText="1"/>
    </xf>
    <xf numFmtId="9" fontId="3" fillId="0" borderId="10" xfId="0" applyNumberFormat="1" applyFont="1" applyBorder="1" applyAlignment="1">
      <alignment horizontal="left" vertical="top" wrapText="1"/>
    </xf>
    <xf numFmtId="6" fontId="5" fillId="0" borderId="10" xfId="2" applyNumberFormat="1" applyFont="1" applyFill="1" applyBorder="1" applyAlignment="1">
      <alignment horizontal="center" wrapText="1"/>
    </xf>
    <xf numFmtId="9" fontId="3" fillId="0" borderId="8" xfId="0" applyNumberFormat="1" applyFont="1" applyBorder="1" applyAlignment="1">
      <alignment horizontal="left" vertical="top" wrapText="1"/>
    </xf>
    <xf numFmtId="6" fontId="5" fillId="0" borderId="8" xfId="2" applyNumberFormat="1" applyFont="1" applyFill="1" applyBorder="1" applyAlignment="1">
      <alignment horizontal="center" wrapText="1"/>
    </xf>
    <xf numFmtId="0" fontId="0" fillId="0" borderId="0" xfId="0" applyAlignment="1">
      <alignment horizontal="centerContinuous" wrapText="1"/>
    </xf>
    <xf numFmtId="10" fontId="0" fillId="0" borderId="14" xfId="3" applyNumberFormat="1" applyFont="1" applyFill="1" applyBorder="1" applyAlignment="1">
      <alignment wrapText="1"/>
    </xf>
    <xf numFmtId="10" fontId="0" fillId="0" borderId="13" xfId="3" applyNumberFormat="1" applyFont="1" applyFill="1" applyBorder="1" applyAlignment="1">
      <alignment wrapText="1"/>
    </xf>
    <xf numFmtId="10" fontId="0" fillId="0" borderId="10" xfId="3" applyNumberFormat="1" applyFont="1" applyFill="1" applyBorder="1" applyAlignment="1">
      <alignment wrapText="1"/>
    </xf>
    <xf numFmtId="10" fontId="2" fillId="0" borderId="4" xfId="3" applyNumberFormat="1" applyFill="1" applyBorder="1" applyAlignment="1">
      <alignment wrapText="1"/>
    </xf>
    <xf numFmtId="0" fontId="7" fillId="6" borderId="10" xfId="0" applyFont="1" applyFill="1" applyBorder="1" applyAlignment="1">
      <alignment horizontal="center" vertical="top" wrapText="1"/>
    </xf>
    <xf numFmtId="0" fontId="7" fillId="6" borderId="12" xfId="0" applyFont="1" applyFill="1" applyBorder="1" applyAlignment="1">
      <alignment horizontal="center" vertical="top" wrapText="1"/>
    </xf>
    <xf numFmtId="0" fontId="7" fillId="6" borderId="13" xfId="0" applyFont="1" applyFill="1" applyBorder="1" applyAlignment="1">
      <alignment horizontal="center" vertical="top" wrapText="1"/>
    </xf>
    <xf numFmtId="0" fontId="7" fillId="6" borderId="1" xfId="0" applyFont="1" applyFill="1" applyBorder="1" applyAlignment="1">
      <alignment horizontal="center" vertical="top" wrapText="1"/>
    </xf>
    <xf numFmtId="0" fontId="7" fillId="6" borderId="8" xfId="0" applyFont="1" applyFill="1" applyBorder="1" applyAlignment="1">
      <alignment horizontal="center" vertical="top" wrapText="1"/>
    </xf>
    <xf numFmtId="0" fontId="0" fillId="4" borderId="1" xfId="0" applyFill="1" applyBorder="1" applyAlignment="1">
      <alignment horizontal="center" vertical="top"/>
    </xf>
    <xf numFmtId="0" fontId="0" fillId="4" borderId="1" xfId="0" applyFill="1" applyBorder="1" applyAlignment="1">
      <alignment vertical="top" wrapText="1"/>
    </xf>
    <xf numFmtId="8" fontId="0" fillId="4" borderId="1" xfId="0" applyNumberFormat="1" applyFill="1" applyBorder="1"/>
    <xf numFmtId="3" fontId="0" fillId="0" borderId="0" xfId="0" applyNumberFormat="1"/>
    <xf numFmtId="165" fontId="5" fillId="4" borderId="1" xfId="0" applyNumberFormat="1" applyFont="1" applyFill="1" applyBorder="1" applyAlignment="1">
      <alignment wrapText="1"/>
    </xf>
    <xf numFmtId="3" fontId="0" fillId="0" borderId="14" xfId="0" applyNumberFormat="1" applyBorder="1"/>
    <xf numFmtId="3" fontId="0" fillId="0" borderId="1" xfId="0" applyNumberFormat="1" applyBorder="1"/>
    <xf numFmtId="4" fontId="0" fillId="0" borderId="1" xfId="0" applyNumberFormat="1" applyBorder="1" applyAlignment="1">
      <alignment horizontal="right"/>
    </xf>
    <xf numFmtId="3" fontId="0" fillId="0" borderId="4" xfId="0" applyNumberFormat="1" applyBorder="1"/>
    <xf numFmtId="4" fontId="0" fillId="0" borderId="0" xfId="0" applyNumberFormat="1" applyAlignment="1">
      <alignment horizontal="right"/>
    </xf>
    <xf numFmtId="4" fontId="0" fillId="0" borderId="13" xfId="0" applyNumberFormat="1" applyBorder="1" applyAlignment="1">
      <alignment horizontal="right"/>
    </xf>
    <xf numFmtId="4" fontId="0" fillId="0" borderId="10" xfId="0" applyNumberFormat="1" applyBorder="1" applyAlignment="1">
      <alignment horizontal="right"/>
    </xf>
    <xf numFmtId="4" fontId="0" fillId="0" borderId="14" xfId="0" applyNumberFormat="1" applyBorder="1" applyAlignment="1">
      <alignment horizontal="right"/>
    </xf>
    <xf numFmtId="165" fontId="26" fillId="0" borderId="1" xfId="0" applyNumberFormat="1" applyFont="1" applyBorder="1" applyAlignment="1">
      <alignment horizontal="center" wrapText="1"/>
    </xf>
    <xf numFmtId="166" fontId="5" fillId="0" borderId="1" xfId="0" applyNumberFormat="1" applyFont="1" applyBorder="1" applyAlignment="1">
      <alignment horizontal="center" wrapText="1"/>
    </xf>
    <xf numFmtId="166" fontId="5" fillId="0" borderId="1" xfId="2" applyNumberFormat="1" applyFont="1" applyFill="1" applyBorder="1" applyAlignment="1">
      <alignment horizontal="center" wrapText="1"/>
    </xf>
    <xf numFmtId="10" fontId="0" fillId="0" borderId="1" xfId="3" applyNumberFormat="1" applyFont="1" applyFill="1" applyBorder="1" applyAlignment="1">
      <alignment wrapText="1"/>
    </xf>
    <xf numFmtId="10" fontId="2" fillId="0" borderId="1" xfId="3" applyNumberFormat="1" applyFill="1" applyBorder="1" applyAlignment="1">
      <alignment wrapText="1"/>
    </xf>
    <xf numFmtId="10" fontId="26" fillId="0" borderId="10" xfId="3" applyNumberFormat="1" applyFont="1" applyBorder="1" applyAlignment="1">
      <alignment horizontal="right" wrapText="1"/>
    </xf>
  </cellXfs>
  <cellStyles count="11">
    <cellStyle name="Comma" xfId="2" builtinId="3"/>
    <cellStyle name="Comma 2" xfId="6" xr:uid="{00000000-0005-0000-0000-000001000000}"/>
    <cellStyle name="Currency" xfId="1" builtinId="4"/>
    <cellStyle name="Currency 2" xfId="7" xr:uid="{00000000-0005-0000-0000-000003000000}"/>
    <cellStyle name="Normal" xfId="0" builtinId="0"/>
    <cellStyle name="Normal 2" xfId="4" xr:uid="{00000000-0005-0000-0000-000006000000}"/>
    <cellStyle name="Normal 3" xfId="8" xr:uid="{B33C0B25-B3B6-4251-92E3-DE0CF1243F1E}"/>
    <cellStyle name="Normal 3 2" xfId="10" xr:uid="{B6A007CB-A61A-43AB-9612-62A0A0408C1E}"/>
    <cellStyle name="Percent" xfId="3" builtinId="5"/>
    <cellStyle name="Percent 2" xfId="5" xr:uid="{00000000-0005-0000-0000-000008000000}"/>
    <cellStyle name="Percent 3" xfId="9" xr:uid="{A16FD5E8-6415-45CC-9D06-8FC62B27CA58}"/>
  </cellStyles>
  <dxfs count="0"/>
  <tableStyles count="0" defaultTableStyle="TableStyleMedium2" defaultPivotStyle="PivotStyleLight16"/>
  <colors>
    <mruColors>
      <color rgb="FFB9CDE5"/>
      <color rgb="FFFF1971"/>
      <color rgb="FFFD85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6158E-AD2D-4C5D-916F-B72B76D905CC}">
  <dimension ref="A1:P47"/>
  <sheetViews>
    <sheetView tabSelected="1" zoomScaleNormal="100" workbookViewId="0"/>
  </sheetViews>
  <sheetFormatPr defaultColWidth="8.7109375" defaultRowHeight="15" x14ac:dyDescent="0.25"/>
  <cols>
    <col min="1" max="1" width="13.42578125" bestFit="1" customWidth="1"/>
    <col min="2" max="2" width="78" customWidth="1"/>
    <col min="3" max="4" width="22.42578125" bestFit="1" customWidth="1"/>
    <col min="5" max="5" width="21.140625" customWidth="1"/>
    <col min="6" max="6" width="20.85546875" customWidth="1"/>
    <col min="7" max="7" width="14.85546875" bestFit="1" customWidth="1"/>
    <col min="8" max="8" width="15.85546875" bestFit="1" customWidth="1"/>
    <col min="9" max="12" width="15.85546875" customWidth="1"/>
    <col min="13" max="13" width="14.85546875" bestFit="1" customWidth="1"/>
    <col min="14" max="14" width="18.140625" bestFit="1" customWidth="1"/>
    <col min="15" max="15" width="18.140625" customWidth="1"/>
    <col min="16" max="16" width="9.140625" bestFit="1" customWidth="1"/>
    <col min="17" max="17" width="10.5703125" bestFit="1" customWidth="1"/>
    <col min="18" max="19" width="14.7109375" customWidth="1"/>
    <col min="20" max="20" width="10.85546875" bestFit="1" customWidth="1"/>
    <col min="21" max="21" width="13.85546875" bestFit="1" customWidth="1"/>
    <col min="22" max="22" width="22.140625" customWidth="1"/>
  </cols>
  <sheetData>
    <row r="1" spans="1:16" ht="18.600000000000001" customHeight="1" x14ac:dyDescent="0.25">
      <c r="A1" s="110" t="s">
        <v>120</v>
      </c>
      <c r="B1" s="110"/>
      <c r="C1" s="110"/>
      <c r="D1" s="110"/>
      <c r="E1" s="5"/>
      <c r="F1" s="5"/>
      <c r="G1" s="5"/>
      <c r="H1" s="5"/>
      <c r="I1" s="5"/>
      <c r="J1" s="5"/>
      <c r="K1" s="5"/>
      <c r="L1" s="5"/>
      <c r="M1" s="5"/>
    </row>
    <row r="2" spans="1:16" ht="30" x14ac:dyDescent="0.25">
      <c r="A2" s="10" t="s">
        <v>23</v>
      </c>
      <c r="B2" s="10" t="s">
        <v>24</v>
      </c>
      <c r="C2" s="10" t="s">
        <v>26</v>
      </c>
      <c r="D2" s="10" t="s">
        <v>25</v>
      </c>
      <c r="E2" s="5"/>
      <c r="F2" s="5"/>
      <c r="G2" s="5"/>
      <c r="H2" s="5"/>
      <c r="I2" s="5"/>
      <c r="J2" s="5"/>
      <c r="K2" s="5"/>
      <c r="L2" s="5"/>
    </row>
    <row r="3" spans="1:16" ht="45" x14ac:dyDescent="0.25">
      <c r="A3" s="16" t="s">
        <v>27</v>
      </c>
      <c r="B3" s="19" t="s">
        <v>119</v>
      </c>
      <c r="C3" s="51">
        <v>4150</v>
      </c>
      <c r="D3" s="51">
        <v>9350</v>
      </c>
      <c r="E3" s="5"/>
      <c r="F3" s="5"/>
      <c r="G3" s="5"/>
      <c r="H3" s="5"/>
      <c r="I3" s="5"/>
      <c r="J3" s="5"/>
      <c r="K3" s="5"/>
      <c r="L3" s="5"/>
    </row>
    <row r="4" spans="1:16" x14ac:dyDescent="0.25">
      <c r="A4" s="17" t="s">
        <v>28</v>
      </c>
      <c r="B4" s="12" t="s">
        <v>121</v>
      </c>
      <c r="C4" s="52">
        <f>C3+(C3*0.1)</f>
        <v>4565</v>
      </c>
      <c r="D4" s="52">
        <f>D3+(D3*0.1)</f>
        <v>10285</v>
      </c>
      <c r="E4" s="5"/>
      <c r="F4" s="5"/>
      <c r="G4" s="5"/>
      <c r="H4" s="5"/>
      <c r="I4" s="5"/>
      <c r="J4" s="5"/>
      <c r="K4" s="5"/>
      <c r="L4" s="5"/>
    </row>
    <row r="5" spans="1:16" ht="42.95" customHeight="1" x14ac:dyDescent="0.25">
      <c r="A5" s="17" t="s">
        <v>29</v>
      </c>
      <c r="B5" s="21" t="s">
        <v>122</v>
      </c>
      <c r="C5" s="53">
        <v>4190</v>
      </c>
      <c r="D5" s="53">
        <v>9269</v>
      </c>
      <c r="E5" s="29"/>
      <c r="F5" s="5"/>
      <c r="G5" s="5"/>
      <c r="H5" s="5"/>
      <c r="I5" s="5"/>
      <c r="J5" s="5"/>
      <c r="K5" s="5"/>
      <c r="L5" s="5"/>
    </row>
    <row r="6" spans="1:16" ht="30" x14ac:dyDescent="0.25">
      <c r="A6" s="17" t="s">
        <v>30</v>
      </c>
      <c r="B6" s="12" t="s">
        <v>123</v>
      </c>
      <c r="C6" s="52">
        <f>MIN(C4,C5)</f>
        <v>4190</v>
      </c>
      <c r="D6" s="52">
        <f>MIN(D4,D5)</f>
        <v>9269</v>
      </c>
      <c r="E6" s="5"/>
      <c r="F6" s="5"/>
      <c r="G6" s="5"/>
      <c r="H6" s="5"/>
      <c r="I6" s="5"/>
      <c r="J6" s="5"/>
      <c r="K6" s="5"/>
      <c r="L6" s="5"/>
    </row>
    <row r="7" spans="1:16" x14ac:dyDescent="0.25">
      <c r="A7" s="17" t="s">
        <v>31</v>
      </c>
      <c r="B7" s="12" t="s">
        <v>96</v>
      </c>
      <c r="C7" s="52">
        <v>4200</v>
      </c>
      <c r="D7" s="52">
        <v>9250</v>
      </c>
      <c r="E7" s="5"/>
      <c r="F7" s="5"/>
      <c r="G7" s="5"/>
      <c r="H7" s="5"/>
      <c r="I7" s="5"/>
      <c r="J7" s="5"/>
      <c r="K7" s="5"/>
      <c r="L7" s="5"/>
    </row>
    <row r="8" spans="1:16" ht="28.5" customHeight="1" x14ac:dyDescent="0.25">
      <c r="A8" s="18" t="s">
        <v>32</v>
      </c>
      <c r="B8" s="20" t="s">
        <v>124</v>
      </c>
      <c r="C8" s="54">
        <v>0</v>
      </c>
      <c r="D8" s="54">
        <f>C17+1</f>
        <v>6751</v>
      </c>
      <c r="E8" s="5"/>
      <c r="F8" s="5" t="s">
        <v>0</v>
      </c>
      <c r="G8" s="5"/>
      <c r="H8" s="5"/>
      <c r="I8" s="5"/>
      <c r="J8" s="5"/>
      <c r="K8" s="5"/>
      <c r="L8" s="5"/>
    </row>
    <row r="9" spans="1:16" ht="30" x14ac:dyDescent="0.25">
      <c r="A9" s="41" t="s">
        <v>33</v>
      </c>
      <c r="B9" s="11" t="s">
        <v>125</v>
      </c>
      <c r="C9" s="55" t="s">
        <v>127</v>
      </c>
      <c r="D9" s="55" t="s">
        <v>128</v>
      </c>
      <c r="E9" s="5"/>
      <c r="F9" s="5"/>
      <c r="G9" s="5"/>
      <c r="H9" s="5"/>
      <c r="I9" s="5"/>
      <c r="J9" s="5"/>
      <c r="K9" s="5"/>
      <c r="L9" s="5"/>
    </row>
    <row r="10" spans="1:16" ht="30" x14ac:dyDescent="0.25">
      <c r="A10" s="148" t="s">
        <v>126</v>
      </c>
      <c r="B10" s="148"/>
      <c r="C10" s="148"/>
      <c r="D10" s="148"/>
      <c r="E10" s="5"/>
      <c r="F10" s="5"/>
      <c r="G10" s="5"/>
      <c r="H10" s="5"/>
      <c r="I10" s="5"/>
      <c r="J10" s="5"/>
      <c r="K10" s="5"/>
      <c r="L10" s="5"/>
    </row>
    <row r="11" spans="1:16" x14ac:dyDescent="0.25">
      <c r="A11" s="5"/>
      <c r="B11" s="5"/>
      <c r="C11" s="5"/>
      <c r="E11" s="5"/>
      <c r="F11" s="5"/>
      <c r="G11" s="5"/>
      <c r="H11" s="5"/>
      <c r="I11" s="5"/>
      <c r="J11" s="5"/>
      <c r="K11" s="5"/>
      <c r="L11" s="5"/>
      <c r="M11" s="5"/>
      <c r="N11" s="5"/>
      <c r="O11" s="5"/>
      <c r="P11" s="5"/>
    </row>
    <row r="12" spans="1:16" ht="18.600000000000001" customHeight="1" x14ac:dyDescent="0.25">
      <c r="A12" s="110" t="s">
        <v>129</v>
      </c>
      <c r="B12" s="110"/>
      <c r="C12" s="110"/>
      <c r="E12" s="5"/>
      <c r="F12" s="5"/>
      <c r="G12" s="5"/>
      <c r="H12" s="5"/>
      <c r="I12" s="5"/>
      <c r="J12" s="5"/>
      <c r="K12" s="5"/>
      <c r="L12" s="5"/>
      <c r="M12" s="5"/>
      <c r="N12" s="5"/>
      <c r="O12" s="5"/>
      <c r="P12" s="5"/>
    </row>
    <row r="13" spans="1:16" ht="30" x14ac:dyDescent="0.25">
      <c r="A13" s="10" t="s">
        <v>23</v>
      </c>
      <c r="B13" s="10" t="s">
        <v>24</v>
      </c>
      <c r="C13" s="10" t="s">
        <v>34</v>
      </c>
      <c r="E13" s="5"/>
      <c r="F13" s="5"/>
      <c r="G13" s="5"/>
      <c r="H13" s="5"/>
      <c r="I13" s="5"/>
      <c r="J13" s="5"/>
      <c r="K13" s="5"/>
      <c r="L13" s="5"/>
      <c r="M13" s="5"/>
      <c r="N13" s="5"/>
      <c r="O13" s="5"/>
      <c r="P13" s="5"/>
    </row>
    <row r="14" spans="1:16" ht="30" x14ac:dyDescent="0.25">
      <c r="A14" s="17" t="s">
        <v>27</v>
      </c>
      <c r="B14" s="12" t="s">
        <v>130</v>
      </c>
      <c r="C14" s="52">
        <f>D6</f>
        <v>9269</v>
      </c>
      <c r="E14" s="5"/>
      <c r="F14" s="5"/>
      <c r="G14" s="5"/>
      <c r="H14" s="5"/>
      <c r="I14" s="5"/>
      <c r="J14" s="5"/>
      <c r="K14" s="5"/>
      <c r="L14" s="5"/>
      <c r="M14" s="5"/>
      <c r="N14" s="5"/>
      <c r="O14" s="5"/>
      <c r="P14" s="5"/>
    </row>
    <row r="15" spans="1:16" ht="30" x14ac:dyDescent="0.25">
      <c r="A15" s="17" t="s">
        <v>28</v>
      </c>
      <c r="B15" s="12" t="s">
        <v>131</v>
      </c>
      <c r="C15" s="52">
        <f>C6</f>
        <v>4190</v>
      </c>
      <c r="E15" s="5"/>
      <c r="F15" s="5"/>
      <c r="G15" s="5"/>
      <c r="H15" s="5"/>
      <c r="I15" s="5"/>
      <c r="J15" s="5"/>
      <c r="K15" s="5"/>
      <c r="L15" s="5"/>
      <c r="M15" s="5"/>
      <c r="N15" s="5"/>
      <c r="O15" s="5"/>
      <c r="P15" s="5"/>
    </row>
    <row r="16" spans="1:16" ht="30" x14ac:dyDescent="0.25">
      <c r="A16" s="17" t="s">
        <v>29</v>
      </c>
      <c r="B16" s="12" t="s">
        <v>132</v>
      </c>
      <c r="C16" s="52">
        <f>((C14-C15)/2)+C15</f>
        <v>6729.5</v>
      </c>
      <c r="E16" s="5"/>
      <c r="F16" s="5"/>
      <c r="G16" s="5"/>
      <c r="H16" s="5"/>
      <c r="I16" s="5"/>
      <c r="J16" s="5"/>
      <c r="K16" s="5"/>
      <c r="L16" s="5"/>
      <c r="M16" s="5"/>
      <c r="N16" s="5"/>
      <c r="O16" s="5"/>
      <c r="P16" s="5"/>
    </row>
    <row r="17" spans="1:16" x14ac:dyDescent="0.25">
      <c r="A17" s="17" t="s">
        <v>30</v>
      </c>
      <c r="B17" s="12" t="s">
        <v>133</v>
      </c>
      <c r="C17" s="53">
        <v>6750</v>
      </c>
      <c r="E17" s="5"/>
      <c r="F17" s="5"/>
      <c r="G17" s="5"/>
      <c r="H17" s="5"/>
      <c r="I17" s="5"/>
      <c r="J17" s="5"/>
      <c r="K17" s="5"/>
      <c r="L17" s="5"/>
      <c r="M17" s="5"/>
      <c r="N17" s="5"/>
      <c r="O17" s="5"/>
      <c r="P17" s="5"/>
    </row>
    <row r="18" spans="1:16" ht="30" x14ac:dyDescent="0.25">
      <c r="A18" s="17" t="s">
        <v>31</v>
      </c>
      <c r="B18" s="12" t="s">
        <v>134</v>
      </c>
      <c r="C18" s="53">
        <f>C7+1</f>
        <v>4201</v>
      </c>
      <c r="E18" s="5"/>
      <c r="F18" s="5"/>
      <c r="G18" s="5"/>
      <c r="H18" s="5"/>
      <c r="I18" s="5"/>
      <c r="J18" s="5"/>
      <c r="K18" s="5"/>
      <c r="L18" s="5"/>
      <c r="M18" s="5"/>
      <c r="N18" s="5"/>
      <c r="O18" s="5"/>
      <c r="P18" s="5"/>
    </row>
    <row r="19" spans="1:16" ht="30" x14ac:dyDescent="0.25">
      <c r="A19" s="41" t="s">
        <v>32</v>
      </c>
      <c r="B19" s="11" t="s">
        <v>135</v>
      </c>
      <c r="C19" s="56" t="s">
        <v>136</v>
      </c>
      <c r="E19" s="5"/>
      <c r="F19" s="5"/>
      <c r="G19" s="5"/>
      <c r="H19" s="5"/>
      <c r="I19" s="5"/>
      <c r="J19" s="5"/>
      <c r="K19" s="5"/>
      <c r="L19" s="5"/>
      <c r="M19" s="5"/>
      <c r="N19" s="5"/>
      <c r="O19" s="5"/>
      <c r="P19" s="5"/>
    </row>
    <row r="20" spans="1:16" x14ac:dyDescent="0.25">
      <c r="A20" s="5"/>
      <c r="B20" s="5"/>
      <c r="C20" s="5"/>
      <c r="E20" s="5"/>
      <c r="F20" s="5"/>
      <c r="G20" s="5"/>
      <c r="H20" s="5"/>
      <c r="I20" s="5"/>
      <c r="J20" s="5"/>
      <c r="K20" s="5"/>
      <c r="L20" s="5"/>
      <c r="M20" s="5"/>
      <c r="N20" s="5"/>
      <c r="O20" s="5"/>
      <c r="P20" s="5"/>
    </row>
    <row r="21" spans="1:16" ht="18" customHeight="1" x14ac:dyDescent="0.25">
      <c r="A21" s="110" t="s">
        <v>137</v>
      </c>
      <c r="B21" s="110"/>
      <c r="C21" s="110"/>
      <c r="D21" s="110"/>
      <c r="E21" s="110"/>
      <c r="F21" s="5"/>
      <c r="G21" s="5"/>
      <c r="H21" s="5"/>
      <c r="I21" s="5"/>
      <c r="J21" s="5"/>
      <c r="K21" s="5"/>
      <c r="L21" s="5"/>
      <c r="M21" s="5"/>
      <c r="N21" s="5"/>
      <c r="O21" s="5"/>
      <c r="P21" s="5"/>
    </row>
    <row r="22" spans="1:16" ht="30" x14ac:dyDescent="0.25">
      <c r="A22" s="10" t="s">
        <v>23</v>
      </c>
      <c r="B22" s="10" t="s">
        <v>24</v>
      </c>
      <c r="C22" s="10" t="s">
        <v>26</v>
      </c>
      <c r="D22" s="10" t="s">
        <v>34</v>
      </c>
      <c r="E22" s="10" t="s">
        <v>25</v>
      </c>
      <c r="F22" s="5"/>
      <c r="G22" s="5"/>
      <c r="H22" s="5"/>
      <c r="I22" s="5"/>
      <c r="J22" s="5"/>
      <c r="K22" s="5"/>
      <c r="L22" s="5"/>
      <c r="M22" s="5"/>
      <c r="N22" s="5"/>
      <c r="O22" s="5"/>
    </row>
    <row r="23" spans="1:16" ht="30" x14ac:dyDescent="0.25">
      <c r="A23" s="17" t="s">
        <v>27</v>
      </c>
      <c r="B23" s="12" t="s">
        <v>139</v>
      </c>
      <c r="C23" s="52">
        <f>C6</f>
        <v>4190</v>
      </c>
      <c r="D23" s="52">
        <f>C16</f>
        <v>6729.5</v>
      </c>
      <c r="E23" s="52">
        <f>D6</f>
        <v>9269</v>
      </c>
      <c r="F23" s="5"/>
      <c r="G23" s="5"/>
      <c r="H23" s="5"/>
      <c r="I23" s="5"/>
      <c r="J23" s="5"/>
      <c r="K23" s="5"/>
      <c r="L23" s="5"/>
      <c r="M23" s="5"/>
      <c r="N23" s="5"/>
      <c r="O23" s="5"/>
    </row>
    <row r="24" spans="1:16" ht="30" x14ac:dyDescent="0.25">
      <c r="A24" s="17" t="s">
        <v>28</v>
      </c>
      <c r="B24" s="12" t="s">
        <v>138</v>
      </c>
      <c r="C24" s="52">
        <f t="shared" ref="C24" si="0">C23*1.5</f>
        <v>6285</v>
      </c>
      <c r="D24" s="52">
        <f t="shared" ref="D24" si="1">D23*1.5</f>
        <v>10094.25</v>
      </c>
      <c r="E24" s="52">
        <f>E23*1.5</f>
        <v>13903.5</v>
      </c>
      <c r="F24" s="5"/>
      <c r="G24" s="5"/>
      <c r="H24" s="5"/>
      <c r="I24" s="5"/>
      <c r="J24" s="5"/>
      <c r="K24" s="5"/>
      <c r="L24" s="5"/>
      <c r="M24" s="5"/>
      <c r="N24" s="5"/>
      <c r="O24" s="5"/>
    </row>
    <row r="25" spans="1:16" ht="30" x14ac:dyDescent="0.25">
      <c r="A25" s="17" t="s">
        <v>29</v>
      </c>
      <c r="B25" s="12" t="s">
        <v>140</v>
      </c>
      <c r="C25" s="52">
        <v>6300</v>
      </c>
      <c r="D25" s="52">
        <v>10100</v>
      </c>
      <c r="E25" s="52">
        <v>13900</v>
      </c>
      <c r="F25" s="5"/>
      <c r="G25" s="5"/>
      <c r="H25" s="5"/>
      <c r="I25" s="5"/>
      <c r="J25" s="5"/>
      <c r="K25" s="5"/>
      <c r="L25" s="5"/>
      <c r="M25" s="5"/>
      <c r="N25" s="5"/>
      <c r="O25" s="5"/>
    </row>
    <row r="26" spans="1:16" ht="60" x14ac:dyDescent="0.25">
      <c r="A26" s="17" t="s">
        <v>30</v>
      </c>
      <c r="B26" s="21" t="s">
        <v>141</v>
      </c>
      <c r="C26" s="53">
        <v>0</v>
      </c>
      <c r="D26" s="53">
        <f>C7+1</f>
        <v>4201</v>
      </c>
      <c r="E26" s="53">
        <f>C17+1</f>
        <v>6751</v>
      </c>
      <c r="F26" s="5"/>
      <c r="G26" s="5"/>
      <c r="H26" s="5"/>
      <c r="I26" s="5"/>
      <c r="J26" s="5"/>
      <c r="K26" s="5"/>
      <c r="L26" s="5"/>
      <c r="M26" s="5"/>
      <c r="N26" s="5"/>
      <c r="O26" s="5"/>
    </row>
    <row r="27" spans="1:16" ht="30" x14ac:dyDescent="0.25">
      <c r="A27" s="41" t="s">
        <v>31</v>
      </c>
      <c r="B27" s="11" t="s">
        <v>142</v>
      </c>
      <c r="C27" s="56" t="s">
        <v>143</v>
      </c>
      <c r="D27" s="56" t="s">
        <v>144</v>
      </c>
      <c r="E27" s="56" t="s">
        <v>145</v>
      </c>
      <c r="F27" s="5"/>
      <c r="G27" s="5"/>
      <c r="H27" s="5"/>
      <c r="I27" s="5"/>
      <c r="J27" s="5"/>
      <c r="K27" s="5"/>
      <c r="L27" s="5"/>
      <c r="M27" s="5"/>
      <c r="N27" s="5"/>
      <c r="O27" s="5"/>
    </row>
    <row r="28" spans="1:16" x14ac:dyDescent="0.25">
      <c r="A28" s="5"/>
      <c r="B28" s="5"/>
      <c r="C28" s="5"/>
      <c r="E28" s="5"/>
      <c r="F28" s="5"/>
      <c r="G28" s="5"/>
      <c r="H28" s="5"/>
      <c r="I28" s="5"/>
      <c r="J28" s="5"/>
      <c r="K28" s="5"/>
      <c r="L28" s="5"/>
      <c r="M28" s="5"/>
      <c r="N28" s="5"/>
      <c r="O28" s="5"/>
      <c r="P28" s="5"/>
    </row>
    <row r="29" spans="1:16" ht="18.600000000000001" customHeight="1" x14ac:dyDescent="0.25">
      <c r="A29" s="110" t="s">
        <v>102</v>
      </c>
      <c r="B29" s="110"/>
      <c r="C29" s="110"/>
      <c r="D29" s="110"/>
      <c r="E29" s="110"/>
      <c r="F29" s="5"/>
      <c r="G29" s="5"/>
      <c r="H29" s="5"/>
      <c r="I29" s="5"/>
      <c r="J29" s="5"/>
      <c r="K29" s="5"/>
      <c r="L29" s="5"/>
      <c r="M29" s="5"/>
      <c r="N29" s="5"/>
      <c r="O29" s="5"/>
      <c r="P29" s="5"/>
    </row>
    <row r="30" spans="1:16" ht="30" x14ac:dyDescent="0.25">
      <c r="A30" s="10" t="s">
        <v>23</v>
      </c>
      <c r="B30" s="10" t="s">
        <v>24</v>
      </c>
      <c r="C30" s="10" t="s">
        <v>26</v>
      </c>
      <c r="D30" s="10" t="s">
        <v>34</v>
      </c>
      <c r="E30" s="10" t="s">
        <v>25</v>
      </c>
      <c r="F30" s="5"/>
      <c r="G30" s="5"/>
      <c r="H30" s="5"/>
      <c r="I30" s="5"/>
      <c r="J30" s="5"/>
      <c r="K30" s="5"/>
      <c r="L30" s="5"/>
      <c r="M30" s="5"/>
      <c r="N30" s="5"/>
      <c r="O30" s="5"/>
    </row>
    <row r="31" spans="1:16" x14ac:dyDescent="0.25">
      <c r="A31" s="17" t="s">
        <v>27</v>
      </c>
      <c r="B31" s="12" t="s">
        <v>36</v>
      </c>
      <c r="C31" s="60">
        <v>3450</v>
      </c>
      <c r="D31" s="61" t="s">
        <v>1</v>
      </c>
      <c r="E31" s="60">
        <v>7550</v>
      </c>
      <c r="F31" s="5"/>
      <c r="G31" s="5"/>
      <c r="H31" s="5"/>
      <c r="I31" s="5"/>
      <c r="J31" s="5"/>
      <c r="K31" s="5"/>
      <c r="L31" s="5"/>
      <c r="M31" s="5"/>
      <c r="N31" s="5"/>
      <c r="O31" s="5"/>
    </row>
    <row r="32" spans="1:16" x14ac:dyDescent="0.25">
      <c r="A32" s="17" t="s">
        <v>28</v>
      </c>
      <c r="B32" s="12" t="s">
        <v>38</v>
      </c>
      <c r="C32" s="60">
        <v>3650</v>
      </c>
      <c r="D32" s="52">
        <v>6000</v>
      </c>
      <c r="E32" s="60">
        <v>8300</v>
      </c>
      <c r="F32" s="5"/>
      <c r="G32" s="5"/>
      <c r="H32" s="5"/>
      <c r="I32" s="5"/>
      <c r="J32" s="5"/>
      <c r="K32" s="5"/>
      <c r="L32" s="5"/>
      <c r="M32" s="5"/>
      <c r="N32" s="5"/>
      <c r="O32" s="5"/>
    </row>
    <row r="33" spans="1:16" x14ac:dyDescent="0.25">
      <c r="A33" s="17" t="s">
        <v>29</v>
      </c>
      <c r="B33" s="12" t="s">
        <v>39</v>
      </c>
      <c r="C33" s="60">
        <v>3850</v>
      </c>
      <c r="D33" s="52">
        <v>6350</v>
      </c>
      <c r="E33" s="60">
        <v>8850</v>
      </c>
      <c r="F33" s="5"/>
      <c r="G33" s="5"/>
      <c r="H33" s="5"/>
      <c r="I33" s="5"/>
      <c r="J33" s="5"/>
      <c r="K33" s="5"/>
      <c r="L33" s="5"/>
      <c r="M33" s="5"/>
      <c r="N33" s="5"/>
      <c r="O33" s="5"/>
    </row>
    <row r="34" spans="1:16" x14ac:dyDescent="0.25">
      <c r="A34" s="18" t="s">
        <v>30</v>
      </c>
      <c r="B34" s="20" t="s">
        <v>91</v>
      </c>
      <c r="C34" s="62">
        <v>4150</v>
      </c>
      <c r="D34" s="62">
        <v>6750</v>
      </c>
      <c r="E34" s="62">
        <v>9350</v>
      </c>
    </row>
    <row r="35" spans="1:16" x14ac:dyDescent="0.25">
      <c r="A35" s="18" t="s">
        <v>31</v>
      </c>
      <c r="B35" s="20" t="s">
        <v>146</v>
      </c>
      <c r="C35" s="62">
        <f>C7</f>
        <v>4200</v>
      </c>
      <c r="D35" s="62">
        <f>C17</f>
        <v>6750</v>
      </c>
      <c r="E35" s="62">
        <f>D7</f>
        <v>9250</v>
      </c>
    </row>
    <row r="37" spans="1:16" ht="18.600000000000001" customHeight="1" x14ac:dyDescent="0.25">
      <c r="A37" s="110" t="s">
        <v>103</v>
      </c>
      <c r="B37" s="110"/>
      <c r="C37" s="110"/>
      <c r="D37" s="110"/>
      <c r="E37" s="110"/>
      <c r="F37" s="5"/>
      <c r="G37" s="5"/>
      <c r="H37" s="5"/>
      <c r="I37" s="5"/>
      <c r="J37" s="5"/>
      <c r="K37" s="5"/>
      <c r="L37" s="5"/>
      <c r="M37" s="5"/>
      <c r="N37" s="5"/>
      <c r="O37" s="5"/>
      <c r="P37" s="5"/>
    </row>
    <row r="38" spans="1:16" ht="30" x14ac:dyDescent="0.25">
      <c r="A38" s="10" t="s">
        <v>23</v>
      </c>
      <c r="B38" s="10" t="s">
        <v>24</v>
      </c>
      <c r="C38" s="10" t="s">
        <v>26</v>
      </c>
      <c r="D38" s="10" t="s">
        <v>34</v>
      </c>
      <c r="E38" s="10" t="s">
        <v>25</v>
      </c>
      <c r="F38" s="5"/>
      <c r="G38" s="5"/>
      <c r="H38" s="5"/>
      <c r="I38" s="5"/>
      <c r="J38" s="5"/>
      <c r="K38" s="5"/>
      <c r="L38" s="5"/>
      <c r="M38" s="5"/>
      <c r="N38" s="5"/>
      <c r="O38" s="5"/>
    </row>
    <row r="39" spans="1:16" x14ac:dyDescent="0.25">
      <c r="A39" s="17" t="s">
        <v>27</v>
      </c>
      <c r="B39" s="12" t="s">
        <v>35</v>
      </c>
      <c r="C39" s="57">
        <f t="shared" ref="C39" si="2">(C32-C31)/C31</f>
        <v>5.7971014492753624E-2</v>
      </c>
      <c r="D39" s="58" t="s">
        <v>1</v>
      </c>
      <c r="E39" s="57">
        <f t="shared" ref="E39:E42" si="3">(E32-E31)/E31</f>
        <v>9.9337748344370855E-2</v>
      </c>
      <c r="F39" s="5"/>
      <c r="G39" s="5"/>
      <c r="H39" s="5"/>
      <c r="I39" s="5"/>
      <c r="J39" s="5"/>
      <c r="K39" s="5"/>
      <c r="L39" s="5"/>
      <c r="M39" s="5"/>
      <c r="N39" s="5"/>
      <c r="O39" s="5"/>
    </row>
    <row r="40" spans="1:16" x14ac:dyDescent="0.25">
      <c r="A40" s="17" t="s">
        <v>28</v>
      </c>
      <c r="B40" s="21" t="s">
        <v>37</v>
      </c>
      <c r="C40" s="57">
        <f>(C33-C32)/C32</f>
        <v>5.4794520547945202E-2</v>
      </c>
      <c r="D40" s="57">
        <f t="shared" ref="D40:D42" si="4">(D33-D32)/D32</f>
        <v>5.8333333333333334E-2</v>
      </c>
      <c r="E40" s="57">
        <f t="shared" si="3"/>
        <v>6.6265060240963861E-2</v>
      </c>
    </row>
    <row r="41" spans="1:16" x14ac:dyDescent="0.25">
      <c r="A41" s="18" t="s">
        <v>29</v>
      </c>
      <c r="B41" s="20" t="s">
        <v>92</v>
      </c>
      <c r="C41" s="59">
        <f>(C34-C33)/C33</f>
        <v>7.792207792207792E-2</v>
      </c>
      <c r="D41" s="59">
        <f t="shared" si="4"/>
        <v>6.2992125984251968E-2</v>
      </c>
      <c r="E41" s="59">
        <f t="shared" si="3"/>
        <v>5.6497175141242938E-2</v>
      </c>
    </row>
    <row r="42" spans="1:16" x14ac:dyDescent="0.25">
      <c r="A42" s="18" t="s">
        <v>29</v>
      </c>
      <c r="B42" s="20" t="s">
        <v>147</v>
      </c>
      <c r="C42" s="59">
        <f>(C35-C34)/C34</f>
        <v>1.2048192771084338E-2</v>
      </c>
      <c r="D42" s="59">
        <f t="shared" si="4"/>
        <v>0</v>
      </c>
      <c r="E42" s="202">
        <f t="shared" si="3"/>
        <v>-1.06951871657754E-2</v>
      </c>
    </row>
    <row r="44" spans="1:16" ht="18.75" x14ac:dyDescent="0.25">
      <c r="A44" s="110" t="s">
        <v>276</v>
      </c>
      <c r="B44" s="110"/>
      <c r="C44" s="110"/>
      <c r="D44" s="110"/>
    </row>
    <row r="45" spans="1:16" ht="30" x14ac:dyDescent="0.25">
      <c r="A45" s="10" t="s">
        <v>23</v>
      </c>
      <c r="B45" s="10" t="s">
        <v>24</v>
      </c>
      <c r="C45" s="10" t="s">
        <v>277</v>
      </c>
      <c r="D45" s="10" t="s">
        <v>278</v>
      </c>
    </row>
    <row r="46" spans="1:16" x14ac:dyDescent="0.25">
      <c r="A46" s="17" t="s">
        <v>27</v>
      </c>
      <c r="B46" s="12" t="s">
        <v>279</v>
      </c>
      <c r="C46" s="52">
        <v>9269</v>
      </c>
      <c r="D46" s="52">
        <v>4190</v>
      </c>
    </row>
    <row r="47" spans="1:16" x14ac:dyDescent="0.25">
      <c r="A47" s="18" t="s">
        <v>28</v>
      </c>
      <c r="B47" s="15" t="s">
        <v>280</v>
      </c>
      <c r="C47" s="54">
        <v>8551</v>
      </c>
      <c r="D47" s="54">
        <v>4061</v>
      </c>
    </row>
  </sheetData>
  <phoneticPr fontId="27" type="noConversion"/>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DDFFC-4009-4055-8674-4CC5FBAF8DA6}">
  <dimension ref="A1:E13"/>
  <sheetViews>
    <sheetView zoomScaleNormal="100" workbookViewId="0"/>
  </sheetViews>
  <sheetFormatPr defaultRowHeight="15" x14ac:dyDescent="0.25"/>
  <cols>
    <col min="1" max="1" width="17.140625" bestFit="1" customWidth="1"/>
    <col min="2" max="2" width="90.5703125" customWidth="1"/>
    <col min="3" max="3" width="15.5703125" bestFit="1" customWidth="1"/>
    <col min="4" max="4" width="22.85546875" bestFit="1" customWidth="1"/>
    <col min="5" max="5" width="21" bestFit="1"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19.5" customHeight="1" x14ac:dyDescent="0.25">
      <c r="A1" s="134" t="s">
        <v>201</v>
      </c>
      <c r="B1" s="135"/>
    </row>
    <row r="2" spans="1:5" ht="30" x14ac:dyDescent="0.25">
      <c r="A2" s="94" t="s">
        <v>21</v>
      </c>
      <c r="B2" s="90" t="s">
        <v>77</v>
      </c>
    </row>
    <row r="3" spans="1:5" x14ac:dyDescent="0.25">
      <c r="A3" s="156" t="s">
        <v>76</v>
      </c>
      <c r="B3" s="157">
        <v>109</v>
      </c>
    </row>
    <row r="4" spans="1:5" ht="30" x14ac:dyDescent="0.25">
      <c r="A4" s="156" t="s">
        <v>19</v>
      </c>
      <c r="B4" s="157">
        <v>128</v>
      </c>
    </row>
    <row r="7" spans="1:5" ht="18.75" x14ac:dyDescent="0.25">
      <c r="A7" s="126" t="s">
        <v>198</v>
      </c>
      <c r="B7" s="127"/>
      <c r="C7" s="127"/>
      <c r="D7" s="127"/>
      <c r="E7" s="127"/>
    </row>
    <row r="8" spans="1:5" ht="18.75" x14ac:dyDescent="0.25">
      <c r="A8" s="85" t="s">
        <v>23</v>
      </c>
      <c r="B8" s="85" t="s">
        <v>24</v>
      </c>
      <c r="C8" s="85" t="s">
        <v>4</v>
      </c>
      <c r="D8" s="85" t="s">
        <v>3</v>
      </c>
      <c r="E8" s="85" t="s">
        <v>2</v>
      </c>
    </row>
    <row r="9" spans="1:5" x14ac:dyDescent="0.25">
      <c r="A9" s="86" t="s">
        <v>27</v>
      </c>
      <c r="B9" s="87" t="s">
        <v>188</v>
      </c>
      <c r="C9" s="128">
        <f>B4</f>
        <v>128</v>
      </c>
      <c r="D9" s="128"/>
      <c r="E9" s="128"/>
    </row>
    <row r="10" spans="1:5" x14ac:dyDescent="0.25">
      <c r="A10" s="86" t="s">
        <v>28</v>
      </c>
      <c r="B10" s="87" t="s">
        <v>100</v>
      </c>
      <c r="C10" s="31">
        <v>0.5</v>
      </c>
      <c r="D10" s="31">
        <v>0.4</v>
      </c>
      <c r="E10" s="31">
        <v>0.3</v>
      </c>
    </row>
    <row r="11" spans="1:5" ht="30" x14ac:dyDescent="0.25">
      <c r="A11" s="86" t="s">
        <v>29</v>
      </c>
      <c r="B11" s="87" t="s">
        <v>186</v>
      </c>
      <c r="C11" s="32">
        <f>C9*C10</f>
        <v>64</v>
      </c>
      <c r="D11" s="32">
        <f>C9*D10</f>
        <v>51.2</v>
      </c>
      <c r="E11" s="32">
        <f>C9*E10</f>
        <v>38.4</v>
      </c>
    </row>
    <row r="12" spans="1:5" ht="14.45" customHeight="1" x14ac:dyDescent="0.25">
      <c r="A12" s="184" t="s">
        <v>30</v>
      </c>
      <c r="B12" s="185" t="s">
        <v>187</v>
      </c>
      <c r="C12" s="186">
        <v>65</v>
      </c>
      <c r="D12" s="186">
        <v>50</v>
      </c>
      <c r="E12" s="186">
        <v>40</v>
      </c>
    </row>
    <row r="13" spans="1:5" ht="62.25" x14ac:dyDescent="0.25">
      <c r="A13" s="129" t="s">
        <v>199</v>
      </c>
      <c r="B13" s="129"/>
      <c r="C13" s="129"/>
      <c r="D13" s="129"/>
      <c r="E13" s="129"/>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11428A-E499-47D8-86F2-82FC9276636F}">
  <dimension ref="A1:E8"/>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18.75" x14ac:dyDescent="0.25">
      <c r="A1" s="126" t="s">
        <v>200</v>
      </c>
      <c r="B1" s="127"/>
      <c r="C1" s="127"/>
      <c r="D1" s="127"/>
      <c r="E1" s="127"/>
    </row>
    <row r="2" spans="1:5" ht="18.75" x14ac:dyDescent="0.25">
      <c r="A2" s="85" t="s">
        <v>23</v>
      </c>
      <c r="B2" s="85" t="s">
        <v>24</v>
      </c>
      <c r="C2" s="85" t="s">
        <v>4</v>
      </c>
      <c r="D2" s="85" t="s">
        <v>3</v>
      </c>
      <c r="E2" s="85" t="s">
        <v>2</v>
      </c>
    </row>
    <row r="3" spans="1:5" ht="17.25" x14ac:dyDescent="0.25">
      <c r="A3" s="86" t="s">
        <v>27</v>
      </c>
      <c r="B3" s="91" t="s">
        <v>202</v>
      </c>
      <c r="C3" s="128">
        <v>350</v>
      </c>
      <c r="D3" s="128"/>
      <c r="E3" s="128"/>
    </row>
    <row r="4" spans="1:5" x14ac:dyDescent="0.25">
      <c r="A4" s="86" t="s">
        <v>28</v>
      </c>
      <c r="B4" s="87" t="s">
        <v>100</v>
      </c>
      <c r="C4" s="31">
        <v>0.5</v>
      </c>
      <c r="D4" s="31">
        <v>0.4</v>
      </c>
      <c r="E4" s="31">
        <v>0.3</v>
      </c>
    </row>
    <row r="5" spans="1:5" ht="30" x14ac:dyDescent="0.25">
      <c r="A5" s="86" t="s">
        <v>29</v>
      </c>
      <c r="B5" s="87" t="s">
        <v>186</v>
      </c>
      <c r="C5" s="32">
        <f>C3*C4</f>
        <v>175</v>
      </c>
      <c r="D5" s="32">
        <f>C3*D4</f>
        <v>140</v>
      </c>
      <c r="E5" s="32">
        <f>C3*E4</f>
        <v>105</v>
      </c>
    </row>
    <row r="6" spans="1:5" ht="32.25" x14ac:dyDescent="0.25">
      <c r="A6" s="184" t="s">
        <v>30</v>
      </c>
      <c r="B6" s="185" t="s">
        <v>203</v>
      </c>
      <c r="C6" s="186">
        <v>175</v>
      </c>
      <c r="D6" s="186">
        <v>140</v>
      </c>
      <c r="E6" s="186">
        <v>105</v>
      </c>
    </row>
    <row r="7" spans="1:5" ht="77.25" x14ac:dyDescent="0.25">
      <c r="A7" s="148" t="s">
        <v>204</v>
      </c>
      <c r="B7" s="148"/>
      <c r="C7" s="148"/>
      <c r="D7" s="148"/>
      <c r="E7" s="148"/>
    </row>
    <row r="8" spans="1:5" ht="32.25" x14ac:dyDescent="0.25">
      <c r="A8" s="174" t="s">
        <v>205</v>
      </c>
      <c r="B8" s="174"/>
      <c r="C8" s="174"/>
      <c r="D8" s="174"/>
      <c r="E8" s="174"/>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B8FB5-2D04-49DC-A15F-E89ABF274022}">
  <dimension ref="A1:E8"/>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18.75" x14ac:dyDescent="0.25">
      <c r="A1" s="126" t="s">
        <v>206</v>
      </c>
      <c r="B1" s="127"/>
      <c r="C1" s="127"/>
      <c r="D1" s="127"/>
      <c r="E1" s="127"/>
    </row>
    <row r="2" spans="1:5" ht="18.75" x14ac:dyDescent="0.25">
      <c r="A2" s="85" t="s">
        <v>23</v>
      </c>
      <c r="B2" s="85" t="s">
        <v>24</v>
      </c>
      <c r="C2" s="85" t="s">
        <v>4</v>
      </c>
      <c r="D2" s="85" t="s">
        <v>3</v>
      </c>
      <c r="E2" s="85" t="s">
        <v>2</v>
      </c>
    </row>
    <row r="3" spans="1:5" ht="17.25" x14ac:dyDescent="0.25">
      <c r="A3" s="86" t="s">
        <v>27</v>
      </c>
      <c r="B3" s="91" t="s">
        <v>202</v>
      </c>
      <c r="C3" s="128">
        <v>363</v>
      </c>
      <c r="D3" s="128"/>
      <c r="E3" s="128"/>
    </row>
    <row r="4" spans="1:5" x14ac:dyDescent="0.25">
      <c r="A4" s="86" t="s">
        <v>28</v>
      </c>
      <c r="B4" s="87" t="s">
        <v>100</v>
      </c>
      <c r="C4" s="31">
        <v>0.5</v>
      </c>
      <c r="D4" s="31">
        <v>0.4</v>
      </c>
      <c r="E4" s="31">
        <v>0.3</v>
      </c>
    </row>
    <row r="5" spans="1:5" ht="30" x14ac:dyDescent="0.25">
      <c r="A5" s="86" t="s">
        <v>29</v>
      </c>
      <c r="B5" s="87" t="s">
        <v>186</v>
      </c>
      <c r="C5" s="32">
        <f>C3*C4</f>
        <v>181.5</v>
      </c>
      <c r="D5" s="32">
        <f>C3*D4</f>
        <v>145.20000000000002</v>
      </c>
      <c r="E5" s="32">
        <f>C3*E4</f>
        <v>108.89999999999999</v>
      </c>
    </row>
    <row r="6" spans="1:5" ht="32.25" x14ac:dyDescent="0.25">
      <c r="A6" s="184" t="s">
        <v>30</v>
      </c>
      <c r="B6" s="185" t="s">
        <v>203</v>
      </c>
      <c r="C6" s="186">
        <v>180</v>
      </c>
      <c r="D6" s="186">
        <v>145</v>
      </c>
      <c r="E6" s="186">
        <v>110</v>
      </c>
    </row>
    <row r="7" spans="1:5" ht="66" customHeight="1" x14ac:dyDescent="0.25">
      <c r="A7" s="148" t="s">
        <v>208</v>
      </c>
      <c r="B7" s="148"/>
      <c r="C7" s="148"/>
      <c r="D7" s="148"/>
      <c r="E7" s="148"/>
    </row>
    <row r="8" spans="1:5" ht="32.450000000000003" customHeight="1" x14ac:dyDescent="0.25">
      <c r="A8" s="174" t="s">
        <v>207</v>
      </c>
      <c r="B8" s="174"/>
      <c r="C8" s="174"/>
      <c r="D8" s="174"/>
      <c r="E8" s="174"/>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AB458C-5FBA-4B30-826D-620B69850F70}">
  <dimension ref="A1:C9"/>
  <sheetViews>
    <sheetView zoomScaleNormal="100" workbookViewId="0"/>
  </sheetViews>
  <sheetFormatPr defaultRowHeight="15" x14ac:dyDescent="0.25"/>
  <cols>
    <col min="1" max="1" width="17.140625" bestFit="1" customWidth="1"/>
    <col min="2" max="2" width="89.7109375" customWidth="1"/>
    <col min="3" max="3" width="23.85546875" customWidth="1"/>
    <col min="4" max="4" width="36" customWidth="1"/>
    <col min="5" max="5" width="13.28515625" customWidth="1"/>
    <col min="6" max="7" width="21.140625" customWidth="1"/>
    <col min="8" max="14" width="13.28515625" customWidth="1"/>
    <col min="15" max="15" width="19.5703125" customWidth="1"/>
    <col min="16" max="16" width="10.42578125" customWidth="1"/>
    <col min="17" max="17" width="10.140625" bestFit="1" customWidth="1"/>
    <col min="18" max="18" width="12.140625" bestFit="1" customWidth="1"/>
    <col min="19" max="19" width="15.85546875" customWidth="1"/>
    <col min="21" max="21" width="18.85546875" customWidth="1"/>
    <col min="22" max="22" width="6.5703125" customWidth="1"/>
    <col min="23" max="23" width="10.140625" bestFit="1" customWidth="1"/>
    <col min="24" max="24" width="12.140625" bestFit="1" customWidth="1"/>
    <col min="27" max="27" width="15.42578125" bestFit="1" customWidth="1"/>
    <col min="28" max="28" width="7" bestFit="1" customWidth="1"/>
    <col min="29" max="29" width="11.7109375" customWidth="1"/>
  </cols>
  <sheetData>
    <row r="1" spans="1:3" ht="18.75" x14ac:dyDescent="0.25">
      <c r="A1" s="136" t="s">
        <v>209</v>
      </c>
      <c r="B1" s="137"/>
      <c r="C1" s="138"/>
    </row>
    <row r="2" spans="1:3" ht="21" x14ac:dyDescent="0.25">
      <c r="A2" s="85" t="s">
        <v>23</v>
      </c>
      <c r="B2" s="85" t="s">
        <v>24</v>
      </c>
      <c r="C2" s="92" t="s">
        <v>51</v>
      </c>
    </row>
    <row r="3" spans="1:3" ht="17.25" x14ac:dyDescent="0.25">
      <c r="A3" s="86" t="s">
        <v>27</v>
      </c>
      <c r="B3" s="91" t="s">
        <v>210</v>
      </c>
      <c r="C3" s="158">
        <v>235</v>
      </c>
    </row>
    <row r="4" spans="1:3" x14ac:dyDescent="0.25">
      <c r="A4" s="86" t="s">
        <v>28</v>
      </c>
      <c r="B4" s="87" t="s">
        <v>211</v>
      </c>
      <c r="C4" s="31">
        <v>0.2</v>
      </c>
    </row>
    <row r="5" spans="1:3" ht="30" x14ac:dyDescent="0.25">
      <c r="A5" s="86" t="s">
        <v>29</v>
      </c>
      <c r="B5" s="87" t="s">
        <v>212</v>
      </c>
      <c r="C5" s="32">
        <f>C3*C4</f>
        <v>47</v>
      </c>
    </row>
    <row r="6" spans="1:3" ht="30" x14ac:dyDescent="0.25">
      <c r="A6" s="184" t="s">
        <v>30</v>
      </c>
      <c r="B6" s="185" t="s">
        <v>213</v>
      </c>
      <c r="C6" s="186">
        <v>45</v>
      </c>
    </row>
    <row r="7" spans="1:3" ht="47.25" customHeight="1" x14ac:dyDescent="0.25">
      <c r="A7" s="129" t="s">
        <v>50</v>
      </c>
      <c r="B7" s="129"/>
      <c r="C7" s="129"/>
    </row>
    <row r="8" spans="1:3" ht="78.75" customHeight="1" x14ac:dyDescent="0.25">
      <c r="A8" s="159" t="s">
        <v>258</v>
      </c>
      <c r="B8" s="159"/>
      <c r="C8" s="159"/>
    </row>
    <row r="9" spans="1:3" x14ac:dyDescent="0.25">
      <c r="A9" s="1"/>
      <c r="B9" s="1"/>
      <c r="C9" s="1"/>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0131E-8820-454A-A12D-21DE5F2D6018}">
  <dimension ref="A1:E16"/>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18.600000000000001" customHeight="1" x14ac:dyDescent="0.25">
      <c r="A1" s="139" t="s">
        <v>214</v>
      </c>
      <c r="B1" s="140"/>
      <c r="C1" s="140"/>
      <c r="D1" s="140"/>
      <c r="E1" s="141"/>
    </row>
    <row r="2" spans="1:5" ht="56.25" x14ac:dyDescent="0.25">
      <c r="A2" s="34" t="s">
        <v>22</v>
      </c>
      <c r="B2" s="35" t="s">
        <v>53</v>
      </c>
      <c r="C2" s="34" t="s">
        <v>54</v>
      </c>
      <c r="D2" s="36" t="s">
        <v>55</v>
      </c>
      <c r="E2" s="36" t="s">
        <v>52</v>
      </c>
    </row>
    <row r="3" spans="1:5" x14ac:dyDescent="0.25">
      <c r="A3" s="88" t="s">
        <v>5</v>
      </c>
      <c r="B3" s="193">
        <v>133.59600229145892</v>
      </c>
      <c r="C3" s="189">
        <v>15144413</v>
      </c>
      <c r="D3" s="175">
        <f>(C3/C7)</f>
        <v>0.48622996033660937</v>
      </c>
      <c r="E3" s="160">
        <f>B3*D3</f>
        <v>64.958378895305643</v>
      </c>
    </row>
    <row r="4" spans="1:5" x14ac:dyDescent="0.25">
      <c r="A4" s="87" t="s">
        <v>6</v>
      </c>
      <c r="B4" s="194">
        <v>157.5135530187581</v>
      </c>
      <c r="C4" s="187">
        <v>565249</v>
      </c>
      <c r="D4" s="176">
        <f>(C4/C7)</f>
        <v>1.8148012659870549E-2</v>
      </c>
      <c r="E4" s="161">
        <f>B4*D4</f>
        <v>2.858557954285613</v>
      </c>
    </row>
    <row r="5" spans="1:5" x14ac:dyDescent="0.25">
      <c r="A5" s="87" t="s">
        <v>7</v>
      </c>
      <c r="B5" s="194">
        <v>140.26038168166215</v>
      </c>
      <c r="C5" s="187">
        <v>15115771</v>
      </c>
      <c r="D5" s="176">
        <f>(C5/C7)</f>
        <v>0.48531037378518865</v>
      </c>
      <c r="E5" s="161">
        <f>B5*D5</f>
        <v>68.069818261180686</v>
      </c>
    </row>
    <row r="6" spans="1:5" ht="30" x14ac:dyDescent="0.25">
      <c r="A6" s="162" t="s">
        <v>8</v>
      </c>
      <c r="B6" s="195">
        <v>138.79591634695319</v>
      </c>
      <c r="C6" s="187">
        <v>321173</v>
      </c>
      <c r="D6" s="177">
        <f>C6/C7</f>
        <v>1.0311653218331397E-2</v>
      </c>
      <c r="E6" s="161">
        <f>B6*D6</f>
        <v>1.4312153574903153</v>
      </c>
    </row>
    <row r="7" spans="1:5" ht="30" x14ac:dyDescent="0.25">
      <c r="A7" s="96" t="s">
        <v>56</v>
      </c>
      <c r="B7" s="163"/>
      <c r="C7" s="164">
        <f>SUM(C3:C6)</f>
        <v>31146606</v>
      </c>
      <c r="D7" s="178">
        <f>SUM(D3:D6)</f>
        <v>1</v>
      </c>
      <c r="E7" s="188">
        <f>SUM(E3:E6)</f>
        <v>137.31797046826227</v>
      </c>
    </row>
    <row r="10" spans="1:5" ht="18.75" x14ac:dyDescent="0.25">
      <c r="A10" s="136" t="s">
        <v>215</v>
      </c>
      <c r="B10" s="137"/>
      <c r="C10" s="137"/>
      <c r="D10" s="137"/>
      <c r="E10" s="138"/>
    </row>
    <row r="11" spans="1:5" ht="18.75" x14ac:dyDescent="0.25">
      <c r="A11" s="85" t="s">
        <v>23</v>
      </c>
      <c r="B11" s="85" t="s">
        <v>24</v>
      </c>
      <c r="C11" s="85" t="s">
        <v>4</v>
      </c>
      <c r="D11" s="85" t="s">
        <v>3</v>
      </c>
      <c r="E11" s="85" t="s">
        <v>2</v>
      </c>
    </row>
    <row r="12" spans="1:5" x14ac:dyDescent="0.25">
      <c r="A12" s="86" t="s">
        <v>27</v>
      </c>
      <c r="B12" s="91" t="s">
        <v>188</v>
      </c>
      <c r="C12" s="128">
        <f>E7</f>
        <v>137.31797046826227</v>
      </c>
      <c r="D12" s="128"/>
      <c r="E12" s="128"/>
    </row>
    <row r="13" spans="1:5" x14ac:dyDescent="0.25">
      <c r="A13" s="86" t="s">
        <v>28</v>
      </c>
      <c r="B13" s="87" t="s">
        <v>100</v>
      </c>
      <c r="C13" s="31">
        <v>0.5</v>
      </c>
      <c r="D13" s="31">
        <v>0.4</v>
      </c>
      <c r="E13" s="31">
        <v>0.3</v>
      </c>
    </row>
    <row r="14" spans="1:5" ht="30" x14ac:dyDescent="0.25">
      <c r="A14" s="86" t="s">
        <v>29</v>
      </c>
      <c r="B14" s="87" t="s">
        <v>186</v>
      </c>
      <c r="C14" s="32">
        <f>C12*C13</f>
        <v>68.658985234131137</v>
      </c>
      <c r="D14" s="32">
        <f>C12*D13</f>
        <v>54.927188187304914</v>
      </c>
      <c r="E14" s="32">
        <f>C12*E13</f>
        <v>41.195391140478684</v>
      </c>
    </row>
    <row r="15" spans="1:5" ht="30" x14ac:dyDescent="0.25">
      <c r="A15" s="184" t="s">
        <v>30</v>
      </c>
      <c r="B15" s="185" t="s">
        <v>187</v>
      </c>
      <c r="C15" s="186">
        <v>70</v>
      </c>
      <c r="D15" s="186">
        <v>55</v>
      </c>
      <c r="E15" s="186">
        <v>40</v>
      </c>
    </row>
    <row r="16" spans="1:5" ht="64.5" customHeight="1" x14ac:dyDescent="0.25">
      <c r="A16" s="148" t="s">
        <v>252</v>
      </c>
      <c r="B16" s="148"/>
      <c r="C16" s="148"/>
      <c r="D16" s="148"/>
      <c r="E16" s="148"/>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EA972-2A61-4C2C-8049-89B2342F9722}">
  <dimension ref="A1:E13"/>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18.600000000000001" customHeight="1" x14ac:dyDescent="0.25">
      <c r="A1" s="139" t="s">
        <v>216</v>
      </c>
      <c r="B1" s="140"/>
      <c r="C1" s="140"/>
      <c r="D1" s="140"/>
      <c r="E1" s="141"/>
    </row>
    <row r="2" spans="1:5" ht="56.25" x14ac:dyDescent="0.25">
      <c r="A2" s="34" t="s">
        <v>22</v>
      </c>
      <c r="B2" s="35" t="s">
        <v>53</v>
      </c>
      <c r="C2" s="34" t="s">
        <v>54</v>
      </c>
      <c r="D2" s="36" t="s">
        <v>55</v>
      </c>
      <c r="E2" s="36" t="s">
        <v>52</v>
      </c>
    </row>
    <row r="3" spans="1:5" x14ac:dyDescent="0.25">
      <c r="A3" s="88" t="s">
        <v>57</v>
      </c>
      <c r="B3" s="193">
        <v>43.595744614032022</v>
      </c>
      <c r="C3" s="190">
        <v>9168714</v>
      </c>
      <c r="D3" s="175">
        <f>(C3/C4)</f>
        <v>1</v>
      </c>
      <c r="E3" s="160">
        <f>B3*D3</f>
        <v>43.595744614032022</v>
      </c>
    </row>
    <row r="4" spans="1:5" ht="30" x14ac:dyDescent="0.25">
      <c r="A4" s="96" t="s">
        <v>58</v>
      </c>
      <c r="B4" s="163"/>
      <c r="C4" s="164">
        <f>SUM(C3:C3)</f>
        <v>9168714</v>
      </c>
      <c r="D4" s="178">
        <f>SUM(D3:D3)</f>
        <v>1</v>
      </c>
      <c r="E4" s="188">
        <f>SUM(E3:E3)</f>
        <v>43.595744614032022</v>
      </c>
    </row>
    <row r="7" spans="1:5" ht="18.75" x14ac:dyDescent="0.25">
      <c r="A7" s="126" t="s">
        <v>217</v>
      </c>
      <c r="B7" s="127"/>
      <c r="C7" s="127"/>
      <c r="D7" s="127"/>
      <c r="E7" s="127"/>
    </row>
    <row r="8" spans="1:5" ht="18.75" x14ac:dyDescent="0.25">
      <c r="A8" s="85" t="s">
        <v>23</v>
      </c>
      <c r="B8" s="85" t="s">
        <v>24</v>
      </c>
      <c r="C8" s="85" t="s">
        <v>4</v>
      </c>
      <c r="D8" s="85" t="s">
        <v>3</v>
      </c>
      <c r="E8" s="85" t="s">
        <v>2</v>
      </c>
    </row>
    <row r="9" spans="1:5" x14ac:dyDescent="0.25">
      <c r="A9" s="86" t="s">
        <v>27</v>
      </c>
      <c r="B9" s="91" t="s">
        <v>188</v>
      </c>
      <c r="C9" s="142">
        <f>E4</f>
        <v>43.595744614032022</v>
      </c>
      <c r="D9" s="142"/>
      <c r="E9" s="142"/>
    </row>
    <row r="10" spans="1:5" x14ac:dyDescent="0.25">
      <c r="A10" s="86" t="s">
        <v>28</v>
      </c>
      <c r="B10" s="87" t="s">
        <v>100</v>
      </c>
      <c r="C10" s="31">
        <v>0.5</v>
      </c>
      <c r="D10" s="31">
        <v>0.4</v>
      </c>
      <c r="E10" s="31">
        <v>0.3</v>
      </c>
    </row>
    <row r="11" spans="1:5" ht="30" x14ac:dyDescent="0.25">
      <c r="A11" s="86" t="s">
        <v>29</v>
      </c>
      <c r="B11" s="87" t="s">
        <v>186</v>
      </c>
      <c r="C11" s="32">
        <f>C9*C10</f>
        <v>21.797872307016011</v>
      </c>
      <c r="D11" s="32">
        <f>C9*D10</f>
        <v>17.438297845612809</v>
      </c>
      <c r="E11" s="32">
        <f>C9*E10</f>
        <v>13.078723384209606</v>
      </c>
    </row>
    <row r="12" spans="1:5" ht="30" x14ac:dyDescent="0.25">
      <c r="A12" s="184" t="s">
        <v>30</v>
      </c>
      <c r="B12" s="185" t="s">
        <v>187</v>
      </c>
      <c r="C12" s="186">
        <v>20</v>
      </c>
      <c r="D12" s="186">
        <v>15</v>
      </c>
      <c r="E12" s="186">
        <v>15</v>
      </c>
    </row>
    <row r="13" spans="1:5" ht="47.45" customHeight="1" x14ac:dyDescent="0.25">
      <c r="A13" s="148" t="s">
        <v>253</v>
      </c>
      <c r="B13" s="148"/>
      <c r="C13" s="148"/>
      <c r="D13" s="148"/>
      <c r="E13" s="148"/>
    </row>
  </sheetData>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EB421D-F122-41D7-ABFA-A872719CF892}">
  <dimension ref="A1:E13"/>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18.600000000000001" customHeight="1" x14ac:dyDescent="0.25">
      <c r="A1" s="139" t="s">
        <v>218</v>
      </c>
      <c r="B1" s="140"/>
      <c r="C1" s="140"/>
      <c r="D1" s="140"/>
      <c r="E1" s="141"/>
    </row>
    <row r="2" spans="1:5" ht="56.25" x14ac:dyDescent="0.25">
      <c r="A2" s="34" t="s">
        <v>22</v>
      </c>
      <c r="B2" s="35" t="s">
        <v>53</v>
      </c>
      <c r="C2" s="34" t="s">
        <v>54</v>
      </c>
      <c r="D2" s="36" t="s">
        <v>55</v>
      </c>
      <c r="E2" s="36" t="s">
        <v>52</v>
      </c>
    </row>
    <row r="3" spans="1:5" ht="45" x14ac:dyDescent="0.25">
      <c r="A3" s="97" t="s">
        <v>82</v>
      </c>
      <c r="B3" s="191">
        <v>121.50538531062899</v>
      </c>
      <c r="C3" s="192">
        <v>1445215</v>
      </c>
      <c r="D3" s="175">
        <f>(C3/C4)</f>
        <v>1</v>
      </c>
      <c r="E3" s="160">
        <f>B3*D3</f>
        <v>121.50538531062899</v>
      </c>
    </row>
    <row r="4" spans="1:5" ht="30" x14ac:dyDescent="0.25">
      <c r="A4" s="96" t="s">
        <v>60</v>
      </c>
      <c r="B4" s="163"/>
      <c r="C4" s="164">
        <f>SUM(C3:C3)</f>
        <v>1445215</v>
      </c>
      <c r="D4" s="178">
        <f>SUM(D3:D3)</f>
        <v>1</v>
      </c>
      <c r="E4" s="188">
        <f>SUM(E3:E3)</f>
        <v>121.50538531062899</v>
      </c>
    </row>
    <row r="7" spans="1:5" ht="18.75" x14ac:dyDescent="0.25">
      <c r="A7" s="126" t="s">
        <v>219</v>
      </c>
      <c r="B7" s="127"/>
      <c r="C7" s="127"/>
      <c r="D7" s="127"/>
      <c r="E7" s="127"/>
    </row>
    <row r="8" spans="1:5" ht="18.75" x14ac:dyDescent="0.25">
      <c r="A8" s="85" t="s">
        <v>23</v>
      </c>
      <c r="B8" s="85" t="s">
        <v>24</v>
      </c>
      <c r="C8" s="85" t="s">
        <v>4</v>
      </c>
      <c r="D8" s="85" t="s">
        <v>3</v>
      </c>
      <c r="E8" s="85" t="s">
        <v>2</v>
      </c>
    </row>
    <row r="9" spans="1:5" x14ac:dyDescent="0.25">
      <c r="A9" s="86" t="s">
        <v>27</v>
      </c>
      <c r="B9" s="91" t="s">
        <v>188</v>
      </c>
      <c r="C9" s="142">
        <f>E4</f>
        <v>121.50538531062899</v>
      </c>
      <c r="D9" s="142"/>
      <c r="E9" s="142"/>
    </row>
    <row r="10" spans="1:5" x14ac:dyDescent="0.25">
      <c r="A10" s="86" t="s">
        <v>28</v>
      </c>
      <c r="B10" s="87" t="s">
        <v>100</v>
      </c>
      <c r="C10" s="31">
        <v>0.5</v>
      </c>
      <c r="D10" s="31">
        <v>0.4</v>
      </c>
      <c r="E10" s="31">
        <v>0.3</v>
      </c>
    </row>
    <row r="11" spans="1:5" ht="30" x14ac:dyDescent="0.25">
      <c r="A11" s="86" t="s">
        <v>29</v>
      </c>
      <c r="B11" s="87" t="s">
        <v>220</v>
      </c>
      <c r="C11" s="32">
        <f>C9*C10</f>
        <v>60.752692655314497</v>
      </c>
      <c r="D11" s="32">
        <f>C9*D10</f>
        <v>48.602154124251598</v>
      </c>
      <c r="E11" s="32">
        <f>C9*E10</f>
        <v>36.451615593188698</v>
      </c>
    </row>
    <row r="12" spans="1:5" ht="30" x14ac:dyDescent="0.25">
      <c r="A12" s="184" t="s">
        <v>30</v>
      </c>
      <c r="B12" s="185" t="s">
        <v>187</v>
      </c>
      <c r="C12" s="186">
        <v>60</v>
      </c>
      <c r="D12" s="186">
        <v>50</v>
      </c>
      <c r="E12" s="186">
        <v>35</v>
      </c>
    </row>
    <row r="13" spans="1:5" ht="60" x14ac:dyDescent="0.25">
      <c r="A13" s="148" t="s">
        <v>254</v>
      </c>
      <c r="B13" s="148"/>
      <c r="C13" s="148"/>
      <c r="D13" s="148"/>
      <c r="E13" s="148"/>
    </row>
  </sheetData>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A5203-2EF2-4586-AE9F-A83D3008473F}">
  <dimension ref="A1:E16"/>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18.600000000000001" customHeight="1" x14ac:dyDescent="0.25">
      <c r="A1" s="139" t="s">
        <v>221</v>
      </c>
      <c r="B1" s="140"/>
      <c r="C1" s="140"/>
      <c r="D1" s="140"/>
      <c r="E1" s="141"/>
    </row>
    <row r="2" spans="1:5" ht="56.25" x14ac:dyDescent="0.25">
      <c r="A2" s="34" t="s">
        <v>22</v>
      </c>
      <c r="B2" s="35" t="s">
        <v>53</v>
      </c>
      <c r="C2" s="34" t="s">
        <v>54</v>
      </c>
      <c r="D2" s="36" t="s">
        <v>55</v>
      </c>
      <c r="E2" s="36" t="s">
        <v>52</v>
      </c>
    </row>
    <row r="3" spans="1:5" x14ac:dyDescent="0.25">
      <c r="A3" s="88" t="s">
        <v>9</v>
      </c>
      <c r="B3" s="196">
        <v>209.30263716534103</v>
      </c>
      <c r="C3" s="189">
        <v>9192753</v>
      </c>
      <c r="D3" s="175">
        <f>(C3/C7)</f>
        <v>0.59993636966418851</v>
      </c>
      <c r="E3" s="160">
        <f>B3*D3</f>
        <v>125.56826430211555</v>
      </c>
    </row>
    <row r="4" spans="1:5" x14ac:dyDescent="0.25">
      <c r="A4" s="87" t="s">
        <v>10</v>
      </c>
      <c r="B4" s="194">
        <v>137.66923172613753</v>
      </c>
      <c r="C4" s="187">
        <v>1776220</v>
      </c>
      <c r="D4" s="176">
        <f>(C4/C7)</f>
        <v>0.11591946161557096</v>
      </c>
      <c r="E4" s="161">
        <f>B4*D4</f>
        <v>15.958543222723142</v>
      </c>
    </row>
    <row r="5" spans="1:5" x14ac:dyDescent="0.25">
      <c r="A5" s="87" t="s">
        <v>11</v>
      </c>
      <c r="B5" s="194">
        <v>151.49303770294875</v>
      </c>
      <c r="C5" s="187">
        <v>1649123</v>
      </c>
      <c r="D5" s="176">
        <f>(C5/C7)</f>
        <v>0.10762487208670955</v>
      </c>
      <c r="E5" s="161">
        <f>B5*D5</f>
        <v>16.304418804806929</v>
      </c>
    </row>
    <row r="6" spans="1:5" ht="30" x14ac:dyDescent="0.25">
      <c r="A6" s="98" t="s">
        <v>12</v>
      </c>
      <c r="B6" s="195">
        <v>188.16246865649902</v>
      </c>
      <c r="C6" s="187">
        <v>2704784</v>
      </c>
      <c r="D6" s="177">
        <f>C6/C7</f>
        <v>0.17651929663353103</v>
      </c>
      <c r="E6" s="161">
        <f>B6*D6</f>
        <v>33.214306620074034</v>
      </c>
    </row>
    <row r="7" spans="1:5" ht="30" x14ac:dyDescent="0.25">
      <c r="A7" s="96" t="s">
        <v>61</v>
      </c>
      <c r="B7" s="163"/>
      <c r="C7" s="164">
        <f>SUM(C3:C6)</f>
        <v>15322880</v>
      </c>
      <c r="D7" s="178">
        <f>SUM(D3:D6)</f>
        <v>1</v>
      </c>
      <c r="E7" s="188">
        <f>SUM(E3:E6)</f>
        <v>191.04553294971967</v>
      </c>
    </row>
    <row r="10" spans="1:5" ht="18.75" x14ac:dyDescent="0.25">
      <c r="A10" s="126" t="s">
        <v>222</v>
      </c>
      <c r="B10" s="127"/>
      <c r="C10" s="127"/>
      <c r="D10" s="127"/>
      <c r="E10" s="127"/>
    </row>
    <row r="11" spans="1:5" ht="18.75" x14ac:dyDescent="0.25">
      <c r="A11" s="85" t="s">
        <v>23</v>
      </c>
      <c r="B11" s="85" t="s">
        <v>24</v>
      </c>
      <c r="C11" s="85" t="s">
        <v>4</v>
      </c>
      <c r="D11" s="85" t="s">
        <v>3</v>
      </c>
      <c r="E11" s="85" t="s">
        <v>2</v>
      </c>
    </row>
    <row r="12" spans="1:5" x14ac:dyDescent="0.25">
      <c r="A12" s="86" t="s">
        <v>27</v>
      </c>
      <c r="B12" s="91" t="s">
        <v>188</v>
      </c>
      <c r="C12" s="128">
        <f>E7</f>
        <v>191.04553294971967</v>
      </c>
      <c r="D12" s="128"/>
      <c r="E12" s="128"/>
    </row>
    <row r="13" spans="1:5" x14ac:dyDescent="0.25">
      <c r="A13" s="86" t="s">
        <v>28</v>
      </c>
      <c r="B13" s="87" t="s">
        <v>100</v>
      </c>
      <c r="C13" s="31">
        <v>0.5</v>
      </c>
      <c r="D13" s="31">
        <v>0.4</v>
      </c>
      <c r="E13" s="31">
        <v>0.3</v>
      </c>
    </row>
    <row r="14" spans="1:5" ht="30" x14ac:dyDescent="0.25">
      <c r="A14" s="86" t="s">
        <v>29</v>
      </c>
      <c r="B14" s="87" t="s">
        <v>186</v>
      </c>
      <c r="C14" s="32">
        <f>C12*C13</f>
        <v>95.522766474859836</v>
      </c>
      <c r="D14" s="32">
        <f>C12*D13</f>
        <v>76.418213179887871</v>
      </c>
      <c r="E14" s="32">
        <f>C12*E13</f>
        <v>57.3136598849159</v>
      </c>
    </row>
    <row r="15" spans="1:5" ht="30" x14ac:dyDescent="0.25">
      <c r="A15" s="184" t="s">
        <v>30</v>
      </c>
      <c r="B15" s="185" t="s">
        <v>187</v>
      </c>
      <c r="C15" s="186">
        <v>95</v>
      </c>
      <c r="D15" s="186">
        <v>75</v>
      </c>
      <c r="E15" s="186">
        <v>55</v>
      </c>
    </row>
    <row r="16" spans="1:5" ht="59.1" customHeight="1" x14ac:dyDescent="0.25">
      <c r="A16" s="148" t="s">
        <v>251</v>
      </c>
      <c r="B16" s="148"/>
      <c r="C16" s="148"/>
      <c r="D16" s="148"/>
      <c r="E16" s="148"/>
    </row>
  </sheetData>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6E239-3573-449D-AD26-CF257A3BE85C}">
  <dimension ref="A1:E18"/>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18.600000000000001" customHeight="1" x14ac:dyDescent="0.25">
      <c r="A1" s="139" t="s">
        <v>223</v>
      </c>
      <c r="B1" s="140"/>
      <c r="C1" s="140"/>
      <c r="D1" s="140"/>
      <c r="E1" s="141"/>
    </row>
    <row r="2" spans="1:5" ht="56.25" x14ac:dyDescent="0.25">
      <c r="A2" s="34" t="s">
        <v>22</v>
      </c>
      <c r="B2" s="35" t="s">
        <v>53</v>
      </c>
      <c r="C2" s="34" t="s">
        <v>54</v>
      </c>
      <c r="D2" s="36" t="s">
        <v>55</v>
      </c>
      <c r="E2" s="36" t="s">
        <v>52</v>
      </c>
    </row>
    <row r="3" spans="1:5" ht="14.1" customHeight="1" x14ac:dyDescent="0.25">
      <c r="A3" s="96" t="s">
        <v>13</v>
      </c>
      <c r="B3" s="191">
        <v>230.69129627252303</v>
      </c>
      <c r="C3" s="190">
        <v>990375</v>
      </c>
      <c r="D3" s="200">
        <f>(C3/C8)</f>
        <v>0.24147666316861272</v>
      </c>
      <c r="E3" s="163">
        <f>B3*D3</f>
        <v>55.706564445930688</v>
      </c>
    </row>
    <row r="4" spans="1:5" ht="30" x14ac:dyDescent="0.25">
      <c r="A4" s="96" t="s">
        <v>14</v>
      </c>
      <c r="B4" s="191">
        <v>131.50487607622873</v>
      </c>
      <c r="C4" s="190">
        <v>1520634</v>
      </c>
      <c r="D4" s="200">
        <f>(C4/C8)</f>
        <v>0.37076624937093544</v>
      </c>
      <c r="E4" s="163">
        <f>B4*D4</f>
        <v>48.757569676772981</v>
      </c>
    </row>
    <row r="5" spans="1:5" x14ac:dyDescent="0.25">
      <c r="A5" s="96" t="s">
        <v>15</v>
      </c>
      <c r="B5" s="191">
        <v>175.07091018379032</v>
      </c>
      <c r="C5" s="190">
        <v>1367428</v>
      </c>
      <c r="D5" s="200">
        <f>(C5/C8)</f>
        <v>0.33341103174386444</v>
      </c>
      <c r="E5" s="163">
        <f>B5*D5</f>
        <v>58.370572792714952</v>
      </c>
    </row>
    <row r="6" spans="1:5" ht="30" x14ac:dyDescent="0.25">
      <c r="A6" s="96" t="s">
        <v>274</v>
      </c>
      <c r="B6" s="191">
        <v>128.68363944636678</v>
      </c>
      <c r="C6" s="190">
        <v>29767</v>
      </c>
      <c r="D6" s="200">
        <f>(C6/C8)</f>
        <v>7.2578930531769226E-3</v>
      </c>
      <c r="E6" s="163">
        <f t="shared" ref="E6:E7" si="0">B6*D6</f>
        <v>0.93397209279530924</v>
      </c>
    </row>
    <row r="7" spans="1:5" ht="30" x14ac:dyDescent="0.25">
      <c r="A7" s="96" t="s">
        <v>275</v>
      </c>
      <c r="B7" s="191">
        <v>114.0617150908225</v>
      </c>
      <c r="C7" s="190">
        <v>193124</v>
      </c>
      <c r="D7" s="200">
        <f>(C7/C8)</f>
        <v>4.7088162663410482E-2</v>
      </c>
      <c r="E7" s="163">
        <f t="shared" si="0"/>
        <v>5.3709565938642321</v>
      </c>
    </row>
    <row r="8" spans="1:5" ht="45" x14ac:dyDescent="0.25">
      <c r="A8" s="96" t="s">
        <v>62</v>
      </c>
      <c r="B8" s="163"/>
      <c r="C8" s="164">
        <f>SUM(C3:C7)</f>
        <v>4101328</v>
      </c>
      <c r="D8" s="201">
        <f>SUM(D3:D7)</f>
        <v>1</v>
      </c>
      <c r="E8" s="188">
        <f>SUM(E3:E7)</f>
        <v>169.13963560207816</v>
      </c>
    </row>
    <row r="9" spans="1:5" x14ac:dyDescent="0.25">
      <c r="A9" s="146"/>
      <c r="B9" s="147"/>
      <c r="C9" s="147"/>
      <c r="D9" s="147"/>
      <c r="E9" s="147"/>
    </row>
    <row r="11" spans="1:5" ht="18.75" x14ac:dyDescent="0.25">
      <c r="A11" s="126" t="s">
        <v>224</v>
      </c>
      <c r="B11" s="127"/>
      <c r="C11" s="127"/>
      <c r="D11" s="127"/>
      <c r="E11" s="127"/>
    </row>
    <row r="12" spans="1:5" ht="18.75" x14ac:dyDescent="0.25">
      <c r="A12" s="85" t="s">
        <v>23</v>
      </c>
      <c r="B12" s="85" t="s">
        <v>24</v>
      </c>
      <c r="C12" s="85" t="s">
        <v>4</v>
      </c>
      <c r="D12" s="85" t="s">
        <v>3</v>
      </c>
      <c r="E12" s="85" t="s">
        <v>2</v>
      </c>
    </row>
    <row r="13" spans="1:5" ht="15.75" x14ac:dyDescent="0.25">
      <c r="A13" s="106" t="s">
        <v>59</v>
      </c>
      <c r="B13" s="107"/>
      <c r="C13" s="108"/>
      <c r="D13" s="108"/>
      <c r="E13" s="109"/>
    </row>
    <row r="14" spans="1:5" x14ac:dyDescent="0.25">
      <c r="A14" s="86" t="s">
        <v>27</v>
      </c>
      <c r="B14" s="91" t="s">
        <v>188</v>
      </c>
      <c r="C14" s="128">
        <f>E8</f>
        <v>169.13963560207816</v>
      </c>
      <c r="D14" s="128"/>
      <c r="E14" s="128"/>
    </row>
    <row r="15" spans="1:5" x14ac:dyDescent="0.25">
      <c r="A15" s="86" t="s">
        <v>28</v>
      </c>
      <c r="B15" s="87" t="s">
        <v>100</v>
      </c>
      <c r="C15" s="31">
        <v>0.5</v>
      </c>
      <c r="D15" s="31">
        <v>0.4</v>
      </c>
      <c r="E15" s="31">
        <v>0.3</v>
      </c>
    </row>
    <row r="16" spans="1:5" ht="30" x14ac:dyDescent="0.25">
      <c r="A16" s="86" t="s">
        <v>29</v>
      </c>
      <c r="B16" s="87" t="s">
        <v>186</v>
      </c>
      <c r="C16" s="32">
        <f>C14*C15</f>
        <v>84.569817801039079</v>
      </c>
      <c r="D16" s="32">
        <f>C14*D15</f>
        <v>67.65585424083126</v>
      </c>
      <c r="E16" s="32">
        <f>C14*E15</f>
        <v>50.741890680623449</v>
      </c>
    </row>
    <row r="17" spans="1:5" ht="30" x14ac:dyDescent="0.25">
      <c r="A17" s="184" t="s">
        <v>30</v>
      </c>
      <c r="B17" s="185" t="s">
        <v>187</v>
      </c>
      <c r="C17" s="186">
        <v>85</v>
      </c>
      <c r="D17" s="186">
        <v>70</v>
      </c>
      <c r="E17" s="186">
        <v>50</v>
      </c>
    </row>
    <row r="18" spans="1:5" ht="62.45" customHeight="1" x14ac:dyDescent="0.25">
      <c r="A18" s="148" t="s">
        <v>255</v>
      </c>
      <c r="B18" s="148"/>
      <c r="C18" s="148"/>
      <c r="D18" s="148"/>
      <c r="E18" s="148"/>
    </row>
  </sheetData>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63761-9378-4853-9BB6-958A7A3334CA}">
  <dimension ref="A1:E13"/>
  <sheetViews>
    <sheetView zoomScaleNormal="100" workbookViewId="0"/>
  </sheetViews>
  <sheetFormatPr defaultRowHeight="15" x14ac:dyDescent="0.25"/>
  <cols>
    <col min="1" max="1" width="17.140625" bestFit="1" customWidth="1"/>
    <col min="2" max="2" width="75.85546875" customWidth="1"/>
    <col min="3" max="3" width="15.5703125" bestFit="1" customWidth="1"/>
    <col min="4" max="4" width="22.85546875" bestFit="1" customWidth="1"/>
    <col min="5" max="5" width="21" bestFit="1"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18.600000000000001" customHeight="1" x14ac:dyDescent="0.25">
      <c r="A1" s="139" t="s">
        <v>225</v>
      </c>
      <c r="B1" s="140"/>
      <c r="C1" s="140"/>
      <c r="D1" s="140"/>
      <c r="E1" s="141"/>
    </row>
    <row r="2" spans="1:5" ht="56.25" x14ac:dyDescent="0.25">
      <c r="A2" s="36" t="s">
        <v>22</v>
      </c>
      <c r="B2" s="35" t="s">
        <v>53</v>
      </c>
      <c r="C2" s="36" t="s">
        <v>54</v>
      </c>
      <c r="D2" s="36" t="s">
        <v>55</v>
      </c>
      <c r="E2" s="36" t="s">
        <v>52</v>
      </c>
    </row>
    <row r="3" spans="1:5" x14ac:dyDescent="0.25">
      <c r="A3" s="87" t="s">
        <v>15</v>
      </c>
      <c r="B3" s="195">
        <v>175.07091018379032</v>
      </c>
      <c r="C3" s="187">
        <v>1367428</v>
      </c>
      <c r="D3" s="176">
        <f>(C3/C4)</f>
        <v>1</v>
      </c>
      <c r="E3" s="161">
        <f>B3*D3</f>
        <v>175.07091018379032</v>
      </c>
    </row>
    <row r="4" spans="1:5" ht="30" x14ac:dyDescent="0.25">
      <c r="A4" s="96" t="s">
        <v>63</v>
      </c>
      <c r="B4" s="163"/>
      <c r="C4" s="164">
        <f>SUM(C3:C3)</f>
        <v>1367428</v>
      </c>
      <c r="D4" s="178">
        <f>SUM(D3:D3)</f>
        <v>1</v>
      </c>
      <c r="E4" s="188">
        <f>SUM(E3:E3)</f>
        <v>175.07091018379032</v>
      </c>
    </row>
    <row r="7" spans="1:5" ht="18.75" x14ac:dyDescent="0.25">
      <c r="A7" s="126" t="s">
        <v>226</v>
      </c>
      <c r="B7" s="127"/>
      <c r="C7" s="127"/>
      <c r="D7" s="127"/>
      <c r="E7" s="127"/>
    </row>
    <row r="8" spans="1:5" ht="18.75" x14ac:dyDescent="0.25">
      <c r="A8" s="85" t="s">
        <v>23</v>
      </c>
      <c r="B8" s="85" t="s">
        <v>24</v>
      </c>
      <c r="C8" s="85" t="s">
        <v>4</v>
      </c>
      <c r="D8" s="85" t="s">
        <v>3</v>
      </c>
      <c r="E8" s="85" t="s">
        <v>2</v>
      </c>
    </row>
    <row r="9" spans="1:5" x14ac:dyDescent="0.25">
      <c r="A9" s="86" t="s">
        <v>27</v>
      </c>
      <c r="B9" s="91" t="s">
        <v>188</v>
      </c>
      <c r="C9" s="128">
        <f>E4</f>
        <v>175.07091018379032</v>
      </c>
      <c r="D9" s="128"/>
      <c r="E9" s="128"/>
    </row>
    <row r="10" spans="1:5" x14ac:dyDescent="0.25">
      <c r="A10" s="86" t="s">
        <v>28</v>
      </c>
      <c r="B10" s="87" t="s">
        <v>100</v>
      </c>
      <c r="C10" s="31">
        <v>0.5</v>
      </c>
      <c r="D10" s="31">
        <v>0.4</v>
      </c>
      <c r="E10" s="31">
        <v>0.3</v>
      </c>
    </row>
    <row r="11" spans="1:5" ht="30" x14ac:dyDescent="0.25">
      <c r="A11" s="86" t="s">
        <v>29</v>
      </c>
      <c r="B11" s="87" t="s">
        <v>186</v>
      </c>
      <c r="C11" s="32">
        <f>C9*C10</f>
        <v>87.535455091895159</v>
      </c>
      <c r="D11" s="32">
        <f>C9*D10</f>
        <v>70.02836407351613</v>
      </c>
      <c r="E11" s="32">
        <f>C9*E10</f>
        <v>52.521273055137094</v>
      </c>
    </row>
    <row r="12" spans="1:5" ht="30" x14ac:dyDescent="0.25">
      <c r="A12" s="184" t="s">
        <v>30</v>
      </c>
      <c r="B12" s="185" t="s">
        <v>187</v>
      </c>
      <c r="C12" s="186">
        <v>90</v>
      </c>
      <c r="D12" s="186">
        <v>70</v>
      </c>
      <c r="E12" s="186">
        <v>55</v>
      </c>
    </row>
    <row r="13" spans="1:5" ht="46.5" customHeight="1" x14ac:dyDescent="0.25">
      <c r="A13" s="148" t="s">
        <v>256</v>
      </c>
      <c r="B13" s="148"/>
      <c r="C13" s="148"/>
      <c r="D13" s="148"/>
      <c r="E13" s="148"/>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9E72F-C0B0-47A4-B158-FF9A2E130E68}">
  <dimension ref="A1:F47"/>
  <sheetViews>
    <sheetView zoomScaleNormal="100" zoomScaleSheetLayoutView="110" workbookViewId="0"/>
  </sheetViews>
  <sheetFormatPr defaultColWidth="8.7109375" defaultRowHeight="15" x14ac:dyDescent="0.25"/>
  <cols>
    <col min="1" max="1" width="13.42578125" style="1" bestFit="1" customWidth="1"/>
    <col min="2" max="2" width="84.85546875" style="1" customWidth="1"/>
    <col min="3" max="3" width="20.42578125" style="1" customWidth="1"/>
    <col min="4" max="6" width="10.140625" style="1" bestFit="1" customWidth="1"/>
    <col min="7" max="8" width="11.7109375" style="1" customWidth="1"/>
    <col min="9" max="9" width="11.140625" style="1" customWidth="1"/>
    <col min="10" max="12" width="11.5703125" style="1" customWidth="1"/>
    <col min="13" max="15" width="10.85546875" style="1" customWidth="1"/>
    <col min="16" max="16384" width="8.7109375" style="1"/>
  </cols>
  <sheetData>
    <row r="1" spans="1:6" ht="20.45" customHeight="1" x14ac:dyDescent="0.25">
      <c r="A1" s="112" t="s">
        <v>148</v>
      </c>
      <c r="B1" s="112"/>
      <c r="C1" s="112"/>
    </row>
    <row r="2" spans="1:6" ht="30" x14ac:dyDescent="0.25">
      <c r="A2" s="63" t="s">
        <v>23</v>
      </c>
      <c r="B2" s="64" t="s">
        <v>24</v>
      </c>
      <c r="C2" s="64" t="s">
        <v>48</v>
      </c>
    </row>
    <row r="3" spans="1:6" ht="17.25" x14ac:dyDescent="0.25">
      <c r="A3" s="65" t="s">
        <v>27</v>
      </c>
      <c r="B3" s="66" t="s">
        <v>88</v>
      </c>
      <c r="C3" s="149">
        <v>1748</v>
      </c>
    </row>
    <row r="4" spans="1:6" ht="17.25" x14ac:dyDescent="0.25">
      <c r="A4" s="67" t="s">
        <v>28</v>
      </c>
      <c r="B4" s="66" t="s">
        <v>105</v>
      </c>
      <c r="C4" s="150">
        <v>287</v>
      </c>
    </row>
    <row r="5" spans="1:6" ht="17.25" x14ac:dyDescent="0.25">
      <c r="A5" s="67" t="s">
        <v>29</v>
      </c>
      <c r="B5" s="66" t="s">
        <v>106</v>
      </c>
      <c r="C5" s="150">
        <v>117</v>
      </c>
    </row>
    <row r="6" spans="1:6" ht="17.25" x14ac:dyDescent="0.25">
      <c r="A6" s="67" t="s">
        <v>30</v>
      </c>
      <c r="B6" s="66" t="s">
        <v>107</v>
      </c>
      <c r="C6" s="150">
        <v>78</v>
      </c>
    </row>
    <row r="7" spans="1:6" ht="17.25" x14ac:dyDescent="0.25">
      <c r="A7" s="67" t="s">
        <v>31</v>
      </c>
      <c r="B7" s="66" t="s">
        <v>108</v>
      </c>
      <c r="C7" s="150">
        <v>76</v>
      </c>
    </row>
    <row r="8" spans="1:6" ht="17.25" x14ac:dyDescent="0.25">
      <c r="A8" s="67" t="s">
        <v>32</v>
      </c>
      <c r="B8" s="66" t="s">
        <v>109</v>
      </c>
      <c r="C8" s="150">
        <v>70</v>
      </c>
    </row>
    <row r="9" spans="1:6" ht="17.25" x14ac:dyDescent="0.25">
      <c r="A9" s="68" t="s">
        <v>33</v>
      </c>
      <c r="B9" s="69" t="s">
        <v>110</v>
      </c>
      <c r="C9" s="151">
        <v>69</v>
      </c>
    </row>
    <row r="10" spans="1:6" ht="32.25" x14ac:dyDescent="0.25">
      <c r="A10" s="152" t="s">
        <v>149</v>
      </c>
      <c r="B10" s="152"/>
      <c r="C10" s="152"/>
    </row>
    <row r="11" spans="1:6" ht="17.25" x14ac:dyDescent="0.25">
      <c r="A11" s="122" t="s">
        <v>97</v>
      </c>
      <c r="B11" s="122"/>
      <c r="C11" s="122"/>
    </row>
    <row r="12" spans="1:6" x14ac:dyDescent="0.25">
      <c r="A12" s="6"/>
      <c r="B12" s="6"/>
      <c r="C12" s="6"/>
    </row>
    <row r="13" spans="1:6" ht="18.600000000000001" customHeight="1" x14ac:dyDescent="0.25">
      <c r="A13" s="111" t="s">
        <v>150</v>
      </c>
      <c r="B13" s="111"/>
      <c r="C13" s="111"/>
      <c r="D13" s="111"/>
      <c r="E13" s="111"/>
      <c r="F13" s="111"/>
    </row>
    <row r="14" spans="1:6" ht="30" x14ac:dyDescent="0.25">
      <c r="A14" s="64" t="s">
        <v>23</v>
      </c>
      <c r="B14" s="70" t="s">
        <v>24</v>
      </c>
      <c r="C14" s="63" t="s">
        <v>44</v>
      </c>
      <c r="D14" s="63" t="s">
        <v>45</v>
      </c>
      <c r="E14" s="63" t="s">
        <v>46</v>
      </c>
      <c r="F14" s="63" t="s">
        <v>42</v>
      </c>
    </row>
    <row r="15" spans="1:6" x14ac:dyDescent="0.25">
      <c r="A15" s="67" t="s">
        <v>27</v>
      </c>
      <c r="B15" s="71" t="s">
        <v>43</v>
      </c>
      <c r="C15" s="115">
        <f>C3</f>
        <v>1748</v>
      </c>
      <c r="D15" s="116"/>
      <c r="E15" s="116"/>
      <c r="F15" s="117"/>
    </row>
    <row r="16" spans="1:6" ht="45" x14ac:dyDescent="0.25">
      <c r="A16" s="67" t="s">
        <v>28</v>
      </c>
      <c r="B16" s="72" t="s">
        <v>111</v>
      </c>
      <c r="C16" s="7">
        <f>SUM(C4:C6)</f>
        <v>482</v>
      </c>
      <c r="D16" s="7">
        <f>SUM(C4:C9)</f>
        <v>697</v>
      </c>
      <c r="E16" s="7">
        <f>SUM(C4:C8)+(C9*5)</f>
        <v>973</v>
      </c>
      <c r="F16" s="22">
        <f>SUM(C4:C8)+(C9*55)</f>
        <v>4423</v>
      </c>
    </row>
    <row r="17" spans="1:6" ht="30" x14ac:dyDescent="0.25">
      <c r="A17" s="73" t="s">
        <v>29</v>
      </c>
      <c r="B17" s="74" t="s">
        <v>93</v>
      </c>
      <c r="C17" s="7">
        <f>C15+C16</f>
        <v>2230</v>
      </c>
      <c r="D17" s="7">
        <f>C15+D16</f>
        <v>2445</v>
      </c>
      <c r="E17" s="7">
        <f>C15+E16</f>
        <v>2721</v>
      </c>
      <c r="F17" s="23">
        <f>C15+F16</f>
        <v>6171</v>
      </c>
    </row>
    <row r="18" spans="1:6" ht="30" x14ac:dyDescent="0.25">
      <c r="A18" s="73" t="s">
        <v>30</v>
      </c>
      <c r="B18" s="74" t="s">
        <v>151</v>
      </c>
      <c r="C18" s="118">
        <f>'MOOP Limits'!D7</f>
        <v>9250</v>
      </c>
      <c r="D18" s="119"/>
      <c r="E18" s="119"/>
      <c r="F18" s="120"/>
    </row>
    <row r="19" spans="1:6" ht="30" x14ac:dyDescent="0.25">
      <c r="A19" s="73" t="s">
        <v>31</v>
      </c>
      <c r="B19" s="74" t="s">
        <v>152</v>
      </c>
      <c r="C19" s="8">
        <f>MIN(C17, C18)</f>
        <v>2230</v>
      </c>
      <c r="D19" s="8">
        <f>MIN(D17, C18)</f>
        <v>2445</v>
      </c>
      <c r="E19" s="8">
        <f>MIN(E17,C18)</f>
        <v>2721</v>
      </c>
      <c r="F19" s="50">
        <f>MIN(F17, C18)</f>
        <v>6171</v>
      </c>
    </row>
    <row r="20" spans="1:6" ht="30" x14ac:dyDescent="0.25">
      <c r="A20" s="75" t="s">
        <v>32</v>
      </c>
      <c r="B20" s="76" t="s">
        <v>153</v>
      </c>
      <c r="C20" s="42">
        <v>2230</v>
      </c>
      <c r="D20" s="42">
        <v>2445</v>
      </c>
      <c r="E20" s="42">
        <v>2721</v>
      </c>
      <c r="F20" s="42">
        <v>6171</v>
      </c>
    </row>
    <row r="22" spans="1:6" ht="18.600000000000001" customHeight="1" x14ac:dyDescent="0.25">
      <c r="A22" s="111" t="s">
        <v>154</v>
      </c>
      <c r="B22" s="111"/>
      <c r="C22" s="111"/>
      <c r="D22" s="111"/>
      <c r="E22" s="111"/>
      <c r="F22" s="111"/>
    </row>
    <row r="23" spans="1:6" ht="30" x14ac:dyDescent="0.25">
      <c r="A23" s="77" t="s">
        <v>23</v>
      </c>
      <c r="B23" s="78" t="s">
        <v>24</v>
      </c>
      <c r="C23" s="77" t="s">
        <v>44</v>
      </c>
      <c r="D23" s="77" t="s">
        <v>45</v>
      </c>
      <c r="E23" s="77" t="s">
        <v>46</v>
      </c>
      <c r="F23" s="77" t="s">
        <v>42</v>
      </c>
    </row>
    <row r="24" spans="1:6" ht="30" x14ac:dyDescent="0.25">
      <c r="A24" s="67" t="s">
        <v>27</v>
      </c>
      <c r="B24" s="71" t="s">
        <v>94</v>
      </c>
      <c r="C24" s="7">
        <f>C17*1.25</f>
        <v>2787.5</v>
      </c>
      <c r="D24" s="7">
        <f>D17*1.25</f>
        <v>3056.25</v>
      </c>
      <c r="E24" s="7">
        <f>E17*1.25</f>
        <v>3401.25</v>
      </c>
      <c r="F24" s="22">
        <f>F17*1.25</f>
        <v>7713.75</v>
      </c>
    </row>
    <row r="25" spans="1:6" ht="30" x14ac:dyDescent="0.25">
      <c r="A25" s="73" t="s">
        <v>28</v>
      </c>
      <c r="B25" s="74" t="s">
        <v>155</v>
      </c>
      <c r="C25" s="121">
        <f>'MOOP Limits'!C7</f>
        <v>4200</v>
      </c>
      <c r="D25" s="113"/>
      <c r="E25" s="113"/>
      <c r="F25" s="114"/>
    </row>
    <row r="26" spans="1:6" ht="45" x14ac:dyDescent="0.25">
      <c r="A26" s="73" t="s">
        <v>29</v>
      </c>
      <c r="B26" s="74" t="s">
        <v>156</v>
      </c>
      <c r="C26" s="8">
        <f>MIN(C24, C25)</f>
        <v>2787.5</v>
      </c>
      <c r="D26" s="8">
        <f>MIN(D24, C25)</f>
        <v>3056.25</v>
      </c>
      <c r="E26" s="8">
        <f>MIN(E24,C25)</f>
        <v>3401.25</v>
      </c>
      <c r="F26" s="47">
        <f>C25</f>
        <v>4200</v>
      </c>
    </row>
    <row r="27" spans="1:6" ht="30" x14ac:dyDescent="0.25">
      <c r="A27" s="75" t="s">
        <v>30</v>
      </c>
      <c r="B27" s="76" t="s">
        <v>157</v>
      </c>
      <c r="C27" s="43">
        <v>2787</v>
      </c>
      <c r="D27" s="43">
        <v>3056</v>
      </c>
      <c r="E27" s="43">
        <v>3401</v>
      </c>
      <c r="F27" s="43">
        <v>4200</v>
      </c>
    </row>
    <row r="29" spans="1:6" ht="18.600000000000001" customHeight="1" x14ac:dyDescent="0.25">
      <c r="A29" s="111" t="s">
        <v>158</v>
      </c>
      <c r="B29" s="111"/>
      <c r="C29" s="111"/>
      <c r="D29" s="111"/>
      <c r="E29" s="111"/>
      <c r="F29" s="111"/>
    </row>
    <row r="30" spans="1:6" ht="30" x14ac:dyDescent="0.25">
      <c r="A30" s="179" t="s">
        <v>23</v>
      </c>
      <c r="B30" s="180" t="s">
        <v>24</v>
      </c>
      <c r="C30" s="181" t="s">
        <v>44</v>
      </c>
      <c r="D30" s="181" t="s">
        <v>45</v>
      </c>
      <c r="E30" s="181" t="s">
        <v>46</v>
      </c>
      <c r="F30" s="181" t="s">
        <v>42</v>
      </c>
    </row>
    <row r="31" spans="1:6" ht="30" x14ac:dyDescent="0.25">
      <c r="A31" s="65" t="s">
        <v>27</v>
      </c>
      <c r="B31" s="71" t="s">
        <v>159</v>
      </c>
      <c r="C31" s="24">
        <f>C19</f>
        <v>2230</v>
      </c>
      <c r="D31" s="9">
        <f>D19</f>
        <v>2445</v>
      </c>
      <c r="E31" s="9">
        <f>E19</f>
        <v>2721</v>
      </c>
      <c r="F31" s="25">
        <f>F19</f>
        <v>6171</v>
      </c>
    </row>
    <row r="32" spans="1:6" ht="30" x14ac:dyDescent="0.25">
      <c r="A32" s="67" t="s">
        <v>28</v>
      </c>
      <c r="B32" s="74" t="s">
        <v>160</v>
      </c>
      <c r="C32" s="7">
        <f>C26</f>
        <v>2787.5</v>
      </c>
      <c r="D32" s="7">
        <f>D26</f>
        <v>3056.25</v>
      </c>
      <c r="E32" s="7">
        <f>E26</f>
        <v>3401.25</v>
      </c>
      <c r="F32" s="22">
        <f>F26</f>
        <v>4200</v>
      </c>
    </row>
    <row r="33" spans="1:6" ht="45" x14ac:dyDescent="0.25">
      <c r="A33" s="67" t="s">
        <v>29</v>
      </c>
      <c r="B33" s="66" t="s">
        <v>95</v>
      </c>
      <c r="C33" s="27">
        <f>((C32-C31)/2)+C31</f>
        <v>2508.75</v>
      </c>
      <c r="D33" s="7">
        <f>((D32-D31)/2)+D31</f>
        <v>2750.625</v>
      </c>
      <c r="E33" s="7">
        <f>((E32-E31)/2)+E31</f>
        <v>3061.125</v>
      </c>
      <c r="F33" s="23">
        <f>((F32-F31)/2)+F31</f>
        <v>5185.5</v>
      </c>
    </row>
    <row r="34" spans="1:6" ht="30" x14ac:dyDescent="0.25">
      <c r="A34" s="67" t="s">
        <v>30</v>
      </c>
      <c r="B34" s="66" t="s">
        <v>161</v>
      </c>
      <c r="C34" s="113">
        <f>'MOOP Limits'!C17</f>
        <v>6750</v>
      </c>
      <c r="D34" s="113"/>
      <c r="E34" s="113"/>
      <c r="F34" s="114"/>
    </row>
    <row r="35" spans="1:6" ht="30" x14ac:dyDescent="0.25">
      <c r="A35" s="68" t="s">
        <v>31</v>
      </c>
      <c r="B35" s="69" t="s">
        <v>162</v>
      </c>
      <c r="C35" s="7">
        <f>MIN(C33,C34)</f>
        <v>2508.75</v>
      </c>
      <c r="D35" s="7">
        <f>MIN(D33,C34)</f>
        <v>2750.625</v>
      </c>
      <c r="E35" s="7">
        <f>MIN(E33,C34)</f>
        <v>3061.125</v>
      </c>
      <c r="F35" s="23">
        <f>MIN(F33,C34)</f>
        <v>5185.5</v>
      </c>
    </row>
    <row r="36" spans="1:6" ht="30" x14ac:dyDescent="0.25">
      <c r="A36" s="79" t="s">
        <v>32</v>
      </c>
      <c r="B36" s="80" t="s">
        <v>163</v>
      </c>
      <c r="C36" s="43">
        <v>2509</v>
      </c>
      <c r="D36" s="43">
        <v>2751</v>
      </c>
      <c r="E36" s="43">
        <v>3061</v>
      </c>
      <c r="F36" s="43">
        <v>5185</v>
      </c>
    </row>
    <row r="38" spans="1:6" ht="42" customHeight="1" x14ac:dyDescent="0.25">
      <c r="A38" s="112" t="s">
        <v>281</v>
      </c>
      <c r="B38" s="112"/>
      <c r="C38" s="112"/>
    </row>
    <row r="39" spans="1:6" ht="30" x14ac:dyDescent="0.25">
      <c r="A39" s="63" t="s">
        <v>23</v>
      </c>
      <c r="B39" s="64" t="s">
        <v>24</v>
      </c>
      <c r="C39" s="64" t="s">
        <v>48</v>
      </c>
    </row>
    <row r="40" spans="1:6" ht="17.25" x14ac:dyDescent="0.25">
      <c r="A40" s="65" t="s">
        <v>27</v>
      </c>
      <c r="B40" s="66" t="s">
        <v>88</v>
      </c>
      <c r="C40" s="149">
        <v>1748</v>
      </c>
    </row>
    <row r="41" spans="1:6" ht="17.25" x14ac:dyDescent="0.25">
      <c r="A41" s="67" t="s">
        <v>28</v>
      </c>
      <c r="B41" s="66" t="s">
        <v>282</v>
      </c>
      <c r="C41" s="150">
        <v>269</v>
      </c>
    </row>
    <row r="42" spans="1:6" ht="17.25" x14ac:dyDescent="0.25">
      <c r="A42" s="67" t="s">
        <v>29</v>
      </c>
      <c r="B42" s="66" t="s">
        <v>283</v>
      </c>
      <c r="C42" s="150">
        <v>106</v>
      </c>
    </row>
    <row r="43" spans="1:6" ht="17.25" x14ac:dyDescent="0.25">
      <c r="A43" s="67" t="s">
        <v>30</v>
      </c>
      <c r="B43" s="66" t="s">
        <v>284</v>
      </c>
      <c r="C43" s="150">
        <v>70</v>
      </c>
    </row>
    <row r="44" spans="1:6" ht="17.25" x14ac:dyDescent="0.25">
      <c r="A44" s="67" t="s">
        <v>31</v>
      </c>
      <c r="B44" s="66" t="s">
        <v>285</v>
      </c>
      <c r="C44" s="150">
        <v>67</v>
      </c>
    </row>
    <row r="45" spans="1:6" ht="17.25" x14ac:dyDescent="0.25">
      <c r="A45" s="67" t="s">
        <v>32</v>
      </c>
      <c r="B45" s="66" t="s">
        <v>286</v>
      </c>
      <c r="C45" s="150">
        <v>62</v>
      </c>
    </row>
    <row r="46" spans="1:6" ht="17.25" x14ac:dyDescent="0.25">
      <c r="A46" s="68" t="s">
        <v>33</v>
      </c>
      <c r="B46" s="69" t="s">
        <v>287</v>
      </c>
      <c r="C46" s="151">
        <v>60</v>
      </c>
    </row>
    <row r="47" spans="1:6" ht="33.6" customHeight="1" x14ac:dyDescent="0.25">
      <c r="A47" s="152" t="s">
        <v>149</v>
      </c>
      <c r="B47" s="152"/>
      <c r="C47" s="152"/>
    </row>
  </sheetData>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B33E6-4FE4-418D-9EE0-B310E0C81B98}">
  <dimension ref="A1:F14"/>
  <sheetViews>
    <sheetView zoomScaleNormal="100" workbookViewId="0"/>
  </sheetViews>
  <sheetFormatPr defaultRowHeight="15" x14ac:dyDescent="0.25"/>
  <cols>
    <col min="1" max="1" width="19.42578125" customWidth="1"/>
    <col min="2" max="2" width="77.28515625" customWidth="1"/>
    <col min="3" max="3" width="16.42578125" customWidth="1"/>
    <col min="4" max="4" width="23.7109375" customWidth="1"/>
    <col min="5" max="5" width="21.28515625" customWidth="1"/>
    <col min="6" max="6" width="6.42578125" bestFit="1"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6" ht="18.600000000000001" customHeight="1" x14ac:dyDescent="0.25">
      <c r="A1" s="139" t="s">
        <v>227</v>
      </c>
      <c r="B1" s="140"/>
      <c r="C1" s="140"/>
      <c r="D1" s="140"/>
      <c r="E1" s="141"/>
    </row>
    <row r="2" spans="1:6" ht="56.25" x14ac:dyDescent="0.25">
      <c r="A2" s="34" t="s">
        <v>22</v>
      </c>
      <c r="B2" s="35" t="s">
        <v>53</v>
      </c>
      <c r="C2" s="34" t="s">
        <v>54</v>
      </c>
      <c r="D2" s="36" t="s">
        <v>55</v>
      </c>
      <c r="E2" s="36" t="s">
        <v>52</v>
      </c>
    </row>
    <row r="3" spans="1:6" ht="30" x14ac:dyDescent="0.25">
      <c r="A3" s="88" t="s">
        <v>16</v>
      </c>
      <c r="B3" s="196">
        <v>192.93854630021104</v>
      </c>
      <c r="C3" s="189">
        <v>1574306</v>
      </c>
      <c r="D3" s="175">
        <f>(C3/C5)</f>
        <v>0.8842344237333164</v>
      </c>
      <c r="E3" s="160">
        <f>B3*D3</f>
        <v>170.60290430371089</v>
      </c>
      <c r="F3" s="40"/>
    </row>
    <row r="4" spans="1:6" ht="30" x14ac:dyDescent="0.25">
      <c r="A4" s="87" t="s">
        <v>17</v>
      </c>
      <c r="B4" s="195">
        <v>139.00283851225797</v>
      </c>
      <c r="C4" s="187">
        <v>206111</v>
      </c>
      <c r="D4" s="176">
        <f>(C4/C5)</f>
        <v>0.11576557626668359</v>
      </c>
      <c r="E4" s="161">
        <f>B4*D4</f>
        <v>16.0917437030763</v>
      </c>
      <c r="F4" s="40"/>
    </row>
    <row r="5" spans="1:6" ht="60" x14ac:dyDescent="0.25">
      <c r="A5" s="96" t="s">
        <v>64</v>
      </c>
      <c r="B5" s="163"/>
      <c r="C5" s="164">
        <f>SUM(C3:C4)</f>
        <v>1780417</v>
      </c>
      <c r="D5" s="178">
        <f>SUM(D3:D4)</f>
        <v>1</v>
      </c>
      <c r="E5" s="188">
        <f>SUM(E3:E4)</f>
        <v>186.69464800678719</v>
      </c>
    </row>
    <row r="6" spans="1:6" x14ac:dyDescent="0.25">
      <c r="B6" s="40"/>
      <c r="C6" s="40"/>
      <c r="E6" s="40"/>
      <c r="F6" s="40"/>
    </row>
    <row r="7" spans="1:6" x14ac:dyDescent="0.25">
      <c r="B7" s="40"/>
      <c r="C7" s="40"/>
      <c r="E7" s="40"/>
    </row>
    <row r="8" spans="1:6" ht="18.75" x14ac:dyDescent="0.25">
      <c r="A8" s="126" t="s">
        <v>228</v>
      </c>
      <c r="B8" s="127"/>
      <c r="C8" s="127"/>
      <c r="D8" s="127"/>
      <c r="E8" s="127"/>
    </row>
    <row r="9" spans="1:6" ht="18.75" x14ac:dyDescent="0.25">
      <c r="A9" s="85" t="s">
        <v>23</v>
      </c>
      <c r="B9" s="85" t="s">
        <v>24</v>
      </c>
      <c r="C9" s="85" t="s">
        <v>4</v>
      </c>
      <c r="D9" s="85" t="s">
        <v>3</v>
      </c>
      <c r="E9" s="85" t="s">
        <v>2</v>
      </c>
    </row>
    <row r="10" spans="1:6" x14ac:dyDescent="0.25">
      <c r="A10" s="86" t="s">
        <v>27</v>
      </c>
      <c r="B10" s="91" t="s">
        <v>188</v>
      </c>
      <c r="C10" s="128">
        <f>E5</f>
        <v>186.69464800678719</v>
      </c>
      <c r="D10" s="128"/>
      <c r="E10" s="128"/>
    </row>
    <row r="11" spans="1:6" x14ac:dyDescent="0.25">
      <c r="A11" s="86" t="s">
        <v>28</v>
      </c>
      <c r="B11" s="87" t="s">
        <v>100</v>
      </c>
      <c r="C11" s="31">
        <v>0.5</v>
      </c>
      <c r="D11" s="31">
        <v>0.4</v>
      </c>
      <c r="E11" s="31">
        <v>0.3</v>
      </c>
    </row>
    <row r="12" spans="1:6" ht="30" x14ac:dyDescent="0.25">
      <c r="A12" s="86" t="s">
        <v>29</v>
      </c>
      <c r="B12" s="87" t="s">
        <v>186</v>
      </c>
      <c r="C12" s="32">
        <f>C10*C11</f>
        <v>93.347324003393595</v>
      </c>
      <c r="D12" s="32">
        <f>C10*D11</f>
        <v>74.677859202714885</v>
      </c>
      <c r="E12" s="32">
        <f>C10*E11</f>
        <v>56.008394402036153</v>
      </c>
    </row>
    <row r="13" spans="1:6" ht="30" x14ac:dyDescent="0.25">
      <c r="A13" s="184" t="s">
        <v>30</v>
      </c>
      <c r="B13" s="185" t="s">
        <v>187</v>
      </c>
      <c r="C13" s="186">
        <v>95</v>
      </c>
      <c r="D13" s="186">
        <v>75</v>
      </c>
      <c r="E13" s="186">
        <v>55</v>
      </c>
    </row>
    <row r="14" spans="1:6" ht="60.95" customHeight="1" x14ac:dyDescent="0.25">
      <c r="A14" s="148" t="s">
        <v>257</v>
      </c>
      <c r="B14" s="148"/>
      <c r="C14" s="148"/>
      <c r="D14" s="148"/>
      <c r="E14" s="148"/>
    </row>
  </sheetData>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EA5A6-05E1-4662-A732-9339A3CDA0B5}">
  <dimension ref="A1:C15"/>
  <sheetViews>
    <sheetView zoomScaleNormal="100" workbookViewId="0"/>
  </sheetViews>
  <sheetFormatPr defaultRowHeight="15" x14ac:dyDescent="0.25"/>
  <cols>
    <col min="1" max="1" width="19" customWidth="1"/>
    <col min="2" max="2" width="98.85546875" customWidth="1"/>
    <col min="3" max="3" width="25.140625" customWidth="1"/>
    <col min="4" max="4" width="36" customWidth="1"/>
    <col min="5" max="5" width="13.28515625" customWidth="1"/>
    <col min="6" max="7" width="21.140625" customWidth="1"/>
    <col min="8" max="14" width="13.28515625" customWidth="1"/>
    <col min="15" max="15" width="19.5703125" customWidth="1"/>
    <col min="16" max="16" width="10.42578125" customWidth="1"/>
    <col min="17" max="17" width="10.140625" bestFit="1" customWidth="1"/>
    <col min="18" max="18" width="12.140625" bestFit="1" customWidth="1"/>
    <col min="19" max="19" width="15.85546875" customWidth="1"/>
    <col min="21" max="21" width="18.85546875" customWidth="1"/>
    <col min="22" max="22" width="6.5703125" customWidth="1"/>
    <col min="23" max="23" width="10.140625" bestFit="1" customWidth="1"/>
    <col min="24" max="24" width="12.140625" bestFit="1" customWidth="1"/>
    <col min="27" max="27" width="15.42578125" bestFit="1" customWidth="1"/>
    <col min="28" max="28" width="7" bestFit="1" customWidth="1"/>
    <col min="29" max="29" width="11.7109375" customWidth="1"/>
  </cols>
  <sheetData>
    <row r="1" spans="1:3" ht="18.600000000000001" customHeight="1" x14ac:dyDescent="0.25">
      <c r="A1" s="143" t="s">
        <v>229</v>
      </c>
      <c r="B1" s="143"/>
      <c r="C1" s="143"/>
    </row>
    <row r="2" spans="1:3" ht="45" x14ac:dyDescent="0.25">
      <c r="A2" s="85" t="s">
        <v>23</v>
      </c>
      <c r="B2" s="94" t="s">
        <v>21</v>
      </c>
      <c r="C2" s="90" t="s">
        <v>77</v>
      </c>
    </row>
    <row r="3" spans="1:3" x14ac:dyDescent="0.25">
      <c r="A3" s="99" t="s">
        <v>27</v>
      </c>
      <c r="B3" s="95" t="s">
        <v>76</v>
      </c>
      <c r="C3" s="165">
        <v>434</v>
      </c>
    </row>
    <row r="4" spans="1:3" x14ac:dyDescent="0.25">
      <c r="A4" s="100" t="s">
        <v>28</v>
      </c>
      <c r="B4" s="95" t="s">
        <v>19</v>
      </c>
      <c r="C4" s="165">
        <v>1327</v>
      </c>
    </row>
    <row r="7" spans="1:3" ht="18.75" x14ac:dyDescent="0.25">
      <c r="A7" s="136" t="s">
        <v>230</v>
      </c>
      <c r="B7" s="137"/>
      <c r="C7" s="138"/>
    </row>
    <row r="8" spans="1:3" ht="18.75" x14ac:dyDescent="0.25">
      <c r="A8" s="85" t="s">
        <v>23</v>
      </c>
      <c r="B8" s="85" t="s">
        <v>24</v>
      </c>
      <c r="C8" s="85" t="s">
        <v>75</v>
      </c>
    </row>
    <row r="9" spans="1:3" ht="32.25" x14ac:dyDescent="0.25">
      <c r="A9" s="86" t="s">
        <v>27</v>
      </c>
      <c r="B9" s="105" t="s">
        <v>231</v>
      </c>
      <c r="C9" s="33">
        <f>MIN(C3,C4)</f>
        <v>434</v>
      </c>
    </row>
    <row r="10" spans="1:3" x14ac:dyDescent="0.25">
      <c r="A10" s="86" t="s">
        <v>28</v>
      </c>
      <c r="B10" s="87" t="s">
        <v>211</v>
      </c>
      <c r="C10" s="31">
        <v>0.2</v>
      </c>
    </row>
    <row r="11" spans="1:3" ht="32.25" x14ac:dyDescent="0.25">
      <c r="A11" s="86" t="s">
        <v>29</v>
      </c>
      <c r="B11" s="87" t="s">
        <v>232</v>
      </c>
      <c r="C11" s="32">
        <f>C9*C10</f>
        <v>86.800000000000011</v>
      </c>
    </row>
    <row r="12" spans="1:3" x14ac:dyDescent="0.25">
      <c r="A12" s="184" t="s">
        <v>30</v>
      </c>
      <c r="B12" s="185" t="s">
        <v>213</v>
      </c>
      <c r="C12" s="186">
        <v>85</v>
      </c>
    </row>
    <row r="13" spans="1:3" ht="48" customHeight="1" x14ac:dyDescent="0.25">
      <c r="A13" s="148" t="s">
        <v>233</v>
      </c>
      <c r="B13" s="148"/>
      <c r="C13" s="148"/>
    </row>
    <row r="14" spans="1:3" ht="48" customHeight="1" x14ac:dyDescent="0.25">
      <c r="A14" s="130" t="s">
        <v>101</v>
      </c>
      <c r="B14" s="130"/>
      <c r="C14" s="130"/>
    </row>
    <row r="15" spans="1:3" x14ac:dyDescent="0.25">
      <c r="A15" s="1"/>
      <c r="B15" s="1"/>
      <c r="C15" s="1"/>
    </row>
  </sheetData>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4BE9E0-0E2D-415B-9BC0-27682C0E3DFA}">
  <dimension ref="A1:G33"/>
  <sheetViews>
    <sheetView zoomScaleNormal="100" workbookViewId="0"/>
  </sheetViews>
  <sheetFormatPr defaultRowHeight="15" x14ac:dyDescent="0.25"/>
  <cols>
    <col min="1" max="1" width="21.28515625" customWidth="1"/>
    <col min="2" max="2" width="124.7109375" customWidth="1"/>
    <col min="3" max="3" width="50.42578125" customWidth="1"/>
    <col min="4" max="4" width="24.85546875" customWidth="1"/>
    <col min="5" max="5" width="27.28515625" customWidth="1"/>
    <col min="6" max="6" width="20.85546875" customWidth="1"/>
    <col min="7" max="7" width="25.5703125" customWidth="1"/>
    <col min="8" max="12" width="13.28515625" customWidth="1"/>
    <col min="13" max="13" width="19.5703125" customWidth="1"/>
    <col min="14" max="14" width="10.42578125" customWidth="1"/>
    <col min="15" max="15" width="10.140625" bestFit="1" customWidth="1"/>
    <col min="16" max="16" width="12.140625" bestFit="1" customWidth="1"/>
    <col min="17" max="17" width="15.85546875" customWidth="1"/>
    <col min="19" max="19" width="18.85546875" customWidth="1"/>
    <col min="20" max="20" width="6.5703125" customWidth="1"/>
    <col min="21" max="21" width="10.140625" bestFit="1" customWidth="1"/>
    <col min="22" max="22" width="12.140625" bestFit="1" customWidth="1"/>
    <col min="25" max="25" width="15.42578125" bestFit="1" customWidth="1"/>
    <col min="26" max="26" width="7" bestFit="1" customWidth="1"/>
    <col min="27" max="27" width="11.7109375" customWidth="1"/>
  </cols>
  <sheetData>
    <row r="1" spans="1:7" ht="18.600000000000001" customHeight="1" x14ac:dyDescent="0.25">
      <c r="A1" s="143" t="s">
        <v>234</v>
      </c>
      <c r="B1" s="143"/>
      <c r="C1" s="143"/>
      <c r="D1" s="143"/>
      <c r="E1" s="143"/>
      <c r="F1" s="143"/>
      <c r="G1" s="143"/>
    </row>
    <row r="2" spans="1:7" ht="45" x14ac:dyDescent="0.25">
      <c r="A2" s="94" t="s">
        <v>20</v>
      </c>
      <c r="B2" s="89" t="s">
        <v>66</v>
      </c>
      <c r="C2" s="90" t="s">
        <v>268</v>
      </c>
      <c r="D2" s="90" t="s">
        <v>269</v>
      </c>
      <c r="E2" s="90" t="s">
        <v>264</v>
      </c>
      <c r="F2" s="90" t="s">
        <v>265</v>
      </c>
      <c r="G2" s="90" t="s">
        <v>263</v>
      </c>
    </row>
    <row r="3" spans="1:7" x14ac:dyDescent="0.25">
      <c r="A3" s="95" t="s">
        <v>67</v>
      </c>
      <c r="B3" s="156" t="s">
        <v>68</v>
      </c>
      <c r="C3" s="198">
        <v>30262228</v>
      </c>
      <c r="D3" s="199">
        <v>331293</v>
      </c>
      <c r="E3" s="38">
        <f>D3/D13</f>
        <v>0.25813094598069236</v>
      </c>
      <c r="F3" s="37">
        <f t="shared" ref="F3:F12" si="0">C3/D3</f>
        <v>91.345811713498321</v>
      </c>
      <c r="G3" s="37">
        <f>E3*F3</f>
        <v>23.579180788979532</v>
      </c>
    </row>
    <row r="4" spans="1:7" x14ac:dyDescent="0.25">
      <c r="A4" s="95" t="s">
        <v>70</v>
      </c>
      <c r="B4" s="156" t="s">
        <v>69</v>
      </c>
      <c r="C4" s="198">
        <v>774522</v>
      </c>
      <c r="D4" s="199">
        <v>2859</v>
      </c>
      <c r="E4" s="38">
        <f>D4/D13</f>
        <v>2.2276244127065752E-3</v>
      </c>
      <c r="F4" s="37">
        <f t="shared" si="0"/>
        <v>270.90661070304304</v>
      </c>
      <c r="G4" s="37">
        <f t="shared" ref="G4:G12" si="1">E4*F4</f>
        <v>0.60347817956569505</v>
      </c>
    </row>
    <row r="5" spans="1:7" ht="17.25" x14ac:dyDescent="0.25">
      <c r="A5" s="95" t="s">
        <v>270</v>
      </c>
      <c r="B5" s="156" t="s">
        <v>260</v>
      </c>
      <c r="C5" s="198">
        <v>20940</v>
      </c>
      <c r="D5" s="199">
        <v>450</v>
      </c>
      <c r="E5" s="38">
        <f>D5/D13</f>
        <v>3.50622940090227E-4</v>
      </c>
      <c r="F5" s="37">
        <f t="shared" si="0"/>
        <v>46.533333333333331</v>
      </c>
      <c r="G5" s="37">
        <f t="shared" si="1"/>
        <v>1.6315654145531894E-2</v>
      </c>
    </row>
    <row r="6" spans="1:7" ht="17.25" x14ac:dyDescent="0.25">
      <c r="A6" s="95" t="s">
        <v>271</v>
      </c>
      <c r="B6" s="156" t="s">
        <v>259</v>
      </c>
      <c r="C6" s="198">
        <v>13477</v>
      </c>
      <c r="D6" s="199">
        <v>291</v>
      </c>
      <c r="E6" s="38">
        <f>D6/D13</f>
        <v>2.2673616792501345E-4</v>
      </c>
      <c r="F6" s="37">
        <f t="shared" si="0"/>
        <v>46.312714776632305</v>
      </c>
      <c r="G6" s="37">
        <f t="shared" si="1"/>
        <v>1.0500767474657753E-2</v>
      </c>
    </row>
    <row r="7" spans="1:7" ht="17.25" x14ac:dyDescent="0.25">
      <c r="A7" s="95" t="s">
        <v>272</v>
      </c>
      <c r="B7" s="156" t="s">
        <v>261</v>
      </c>
      <c r="C7" s="198">
        <v>7959</v>
      </c>
      <c r="D7" s="199">
        <v>180</v>
      </c>
      <c r="E7" s="38">
        <f>D7/D13</f>
        <v>1.4024917603609079E-4</v>
      </c>
      <c r="F7" s="37">
        <f t="shared" si="0"/>
        <v>44.216666666666669</v>
      </c>
      <c r="G7" s="37">
        <f t="shared" si="1"/>
        <v>6.2013510670624813E-3</v>
      </c>
    </row>
    <row r="8" spans="1:7" ht="17.25" x14ac:dyDescent="0.25">
      <c r="A8" s="95" t="s">
        <v>273</v>
      </c>
      <c r="B8" s="156" t="s">
        <v>262</v>
      </c>
      <c r="C8" s="198">
        <v>3963</v>
      </c>
      <c r="D8" s="199">
        <v>87</v>
      </c>
      <c r="E8" s="38">
        <f>D8/D13</f>
        <v>6.7787101750777217E-5</v>
      </c>
      <c r="F8" s="37">
        <f t="shared" si="0"/>
        <v>45.551724137931032</v>
      </c>
      <c r="G8" s="37">
        <f t="shared" si="1"/>
        <v>3.0878193590612654E-3</v>
      </c>
    </row>
    <row r="9" spans="1:7" x14ac:dyDescent="0.25">
      <c r="A9" s="95" t="s">
        <v>86</v>
      </c>
      <c r="B9" s="156" t="s">
        <v>87</v>
      </c>
      <c r="C9" s="198">
        <v>11528</v>
      </c>
      <c r="D9" s="199">
        <v>246</v>
      </c>
      <c r="E9" s="38">
        <f>D9/D13</f>
        <v>1.9167387391599074E-4</v>
      </c>
      <c r="F9" s="37">
        <f t="shared" si="0"/>
        <v>46.861788617886177</v>
      </c>
      <c r="G9" s="37">
        <f t="shared" si="1"/>
        <v>8.9821805630225255E-3</v>
      </c>
    </row>
    <row r="10" spans="1:7" x14ac:dyDescent="0.25">
      <c r="A10" s="95" t="s">
        <v>72</v>
      </c>
      <c r="B10" s="156" t="s">
        <v>71</v>
      </c>
      <c r="C10" s="198">
        <v>16569302</v>
      </c>
      <c r="D10" s="199">
        <v>445140</v>
      </c>
      <c r="E10" s="38">
        <f>D10/D13</f>
        <v>0.34683621233725254</v>
      </c>
      <c r="F10" s="37">
        <f t="shared" si="0"/>
        <v>37.222676012041156</v>
      </c>
      <c r="G10" s="37">
        <f t="shared" si="1"/>
        <v>12.910171961073063</v>
      </c>
    </row>
    <row r="11" spans="1:7" x14ac:dyDescent="0.25">
      <c r="A11" s="95" t="s">
        <v>74</v>
      </c>
      <c r="B11" s="156" t="s">
        <v>73</v>
      </c>
      <c r="C11" s="198">
        <v>11566501</v>
      </c>
      <c r="D11" s="199">
        <v>208371</v>
      </c>
      <c r="E11" s="38">
        <f>D11/D13</f>
        <v>0.16235478366564596</v>
      </c>
      <c r="F11" s="37">
        <f t="shared" si="0"/>
        <v>55.509168742291394</v>
      </c>
      <c r="G11" s="37">
        <f t="shared" si="1"/>
        <v>9.0121790826145567</v>
      </c>
    </row>
    <row r="12" spans="1:7" x14ac:dyDescent="0.25">
      <c r="A12" s="101" t="s">
        <v>79</v>
      </c>
      <c r="B12" s="156" t="s">
        <v>90</v>
      </c>
      <c r="C12" s="198">
        <v>16418428</v>
      </c>
      <c r="D12" s="199">
        <v>294513</v>
      </c>
      <c r="E12" s="38">
        <f>D12/D13</f>
        <v>0.22947336434398449</v>
      </c>
      <c r="F12" s="37">
        <f t="shared" si="0"/>
        <v>55.747719115964323</v>
      </c>
      <c r="G12" s="37">
        <f t="shared" si="1"/>
        <v>12.792616660043791</v>
      </c>
    </row>
    <row r="13" spans="1:7" x14ac:dyDescent="0.25">
      <c r="A13" s="144" t="s">
        <v>18</v>
      </c>
      <c r="B13" s="166"/>
      <c r="C13" s="198">
        <f t="shared" ref="C13:G13" si="2">SUM(C3:C12)</f>
        <v>75648848</v>
      </c>
      <c r="D13" s="198">
        <f>SUM(D3:D12)</f>
        <v>1283430</v>
      </c>
      <c r="E13" s="38">
        <f t="shared" si="2"/>
        <v>1</v>
      </c>
      <c r="F13" s="37">
        <f t="shared" si="2"/>
        <v>740.20821381928783</v>
      </c>
      <c r="G13" s="197">
        <f t="shared" si="2"/>
        <v>58.942714444885972</v>
      </c>
    </row>
    <row r="14" spans="1:7" ht="17.25" x14ac:dyDescent="0.25">
      <c r="A14" s="167" t="s">
        <v>266</v>
      </c>
      <c r="B14" s="167"/>
      <c r="C14" s="167"/>
      <c r="D14" s="167"/>
    </row>
    <row r="15" spans="1:7" ht="17.25" x14ac:dyDescent="0.25">
      <c r="A15" s="167" t="s">
        <v>267</v>
      </c>
      <c r="B15" s="167"/>
      <c r="C15" s="167"/>
      <c r="D15" s="167"/>
    </row>
    <row r="17" spans="1:5" ht="18.75" x14ac:dyDescent="0.25">
      <c r="A17" s="136" t="s">
        <v>235</v>
      </c>
      <c r="B17" s="137"/>
      <c r="C17" s="138"/>
    </row>
    <row r="18" spans="1:5" ht="18.75" x14ac:dyDescent="0.25">
      <c r="A18" s="85" t="s">
        <v>23</v>
      </c>
      <c r="B18" s="85" t="s">
        <v>24</v>
      </c>
      <c r="C18" s="85" t="s">
        <v>89</v>
      </c>
    </row>
    <row r="19" spans="1:5" x14ac:dyDescent="0.25">
      <c r="A19" s="86" t="s">
        <v>27</v>
      </c>
      <c r="B19" s="91" t="s">
        <v>188</v>
      </c>
      <c r="C19" s="33">
        <f>G13</f>
        <v>58.942714444885972</v>
      </c>
    </row>
    <row r="20" spans="1:5" x14ac:dyDescent="0.25">
      <c r="A20" s="86" t="s">
        <v>28</v>
      </c>
      <c r="B20" s="93" t="s">
        <v>236</v>
      </c>
      <c r="C20" s="31">
        <v>0.5</v>
      </c>
    </row>
    <row r="21" spans="1:5" ht="17.25" x14ac:dyDescent="0.25">
      <c r="A21" s="86" t="s">
        <v>29</v>
      </c>
      <c r="B21" s="87" t="s">
        <v>237</v>
      </c>
      <c r="C21" s="32">
        <f>C19*C20</f>
        <v>29.471357222442986</v>
      </c>
    </row>
    <row r="22" spans="1:5" x14ac:dyDescent="0.25">
      <c r="A22" s="184" t="s">
        <v>30</v>
      </c>
      <c r="B22" s="185" t="s">
        <v>238</v>
      </c>
      <c r="C22" s="186">
        <v>30</v>
      </c>
    </row>
    <row r="23" spans="1:5" ht="45.6" customHeight="1" x14ac:dyDescent="0.25">
      <c r="A23" s="148" t="s">
        <v>239</v>
      </c>
      <c r="B23" s="148"/>
      <c r="C23" s="148"/>
      <c r="E23" t="s">
        <v>0</v>
      </c>
    </row>
    <row r="24" spans="1:5" x14ac:dyDescent="0.25">
      <c r="A24" s="1"/>
      <c r="B24" s="1"/>
      <c r="C24" s="1"/>
    </row>
    <row r="26" spans="1:5" ht="18.75" x14ac:dyDescent="0.25">
      <c r="A26" s="136" t="s">
        <v>240</v>
      </c>
      <c r="B26" s="137"/>
      <c r="C26" s="138"/>
    </row>
    <row r="27" spans="1:5" ht="21" x14ac:dyDescent="0.25">
      <c r="A27" s="85" t="s">
        <v>23</v>
      </c>
      <c r="B27" s="85" t="s">
        <v>24</v>
      </c>
      <c r="C27" s="92" t="s">
        <v>65</v>
      </c>
    </row>
    <row r="28" spans="1:5" ht="17.25" x14ac:dyDescent="0.25">
      <c r="A28" s="86" t="s">
        <v>27</v>
      </c>
      <c r="B28" s="91" t="s">
        <v>194</v>
      </c>
      <c r="C28" s="33">
        <f>G13</f>
        <v>58.942714444885972</v>
      </c>
    </row>
    <row r="29" spans="1:5" x14ac:dyDescent="0.25">
      <c r="A29" s="86" t="s">
        <v>28</v>
      </c>
      <c r="B29" s="93" t="s">
        <v>211</v>
      </c>
      <c r="C29" s="31">
        <v>0.2</v>
      </c>
    </row>
    <row r="30" spans="1:5" ht="17.25" x14ac:dyDescent="0.25">
      <c r="A30" s="86" t="s">
        <v>29</v>
      </c>
      <c r="B30" s="87" t="s">
        <v>232</v>
      </c>
      <c r="C30" s="32">
        <f>C28*C29</f>
        <v>11.788542888977195</v>
      </c>
    </row>
    <row r="31" spans="1:5" x14ac:dyDescent="0.25">
      <c r="A31" s="184" t="s">
        <v>30</v>
      </c>
      <c r="B31" s="185" t="s">
        <v>213</v>
      </c>
      <c r="C31" s="186">
        <v>10</v>
      </c>
    </row>
    <row r="32" spans="1:5" ht="50.25" customHeight="1" x14ac:dyDescent="0.25">
      <c r="A32" s="148" t="s">
        <v>241</v>
      </c>
      <c r="B32" s="148"/>
      <c r="C32" s="148"/>
    </row>
    <row r="33" spans="1:3" ht="47.25" customHeight="1" x14ac:dyDescent="0.25">
      <c r="A33" s="130" t="s">
        <v>101</v>
      </c>
      <c r="B33" s="130"/>
      <c r="C33" s="130"/>
    </row>
  </sheetData>
  <phoneticPr fontId="27" type="noConversion"/>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544AC-8896-4FAF-B832-FCB151E05520}">
  <dimension ref="A1:C9"/>
  <sheetViews>
    <sheetView zoomScaleNormal="100" workbookViewId="0"/>
  </sheetViews>
  <sheetFormatPr defaultRowHeight="15" x14ac:dyDescent="0.25"/>
  <cols>
    <col min="1" max="1" width="17.140625" bestFit="1" customWidth="1"/>
    <col min="2" max="2" width="93.7109375" customWidth="1"/>
    <col min="3" max="3" width="23.85546875" customWidth="1"/>
    <col min="4" max="4" width="36" customWidth="1"/>
    <col min="5" max="5" width="13.28515625" customWidth="1"/>
    <col min="6" max="7" width="21.140625" customWidth="1"/>
    <col min="8" max="14" width="13.28515625" customWidth="1"/>
    <col min="15" max="15" width="19.5703125" customWidth="1"/>
    <col min="16" max="16" width="10.42578125" customWidth="1"/>
    <col min="17" max="17" width="10.140625" bestFit="1" customWidth="1"/>
    <col min="18" max="18" width="12.140625" bestFit="1" customWidth="1"/>
    <col min="19" max="19" width="15.85546875" customWidth="1"/>
    <col min="21" max="21" width="18.85546875" customWidth="1"/>
    <col min="22" max="22" width="6.5703125" customWidth="1"/>
    <col min="23" max="23" width="10.140625" bestFit="1" customWidth="1"/>
    <col min="24" max="24" width="12.140625" bestFit="1" customWidth="1"/>
    <col min="27" max="27" width="15.42578125" bestFit="1" customWidth="1"/>
    <col min="28" max="28" width="7" bestFit="1" customWidth="1"/>
    <col min="29" max="29" width="11.7109375" customWidth="1"/>
  </cols>
  <sheetData>
    <row r="1" spans="1:3" ht="18.75" x14ac:dyDescent="0.25">
      <c r="A1" s="136" t="s">
        <v>242</v>
      </c>
      <c r="B1" s="137"/>
      <c r="C1" s="138"/>
    </row>
    <row r="2" spans="1:3" ht="18.75" x14ac:dyDescent="0.25">
      <c r="A2" s="85" t="s">
        <v>23</v>
      </c>
      <c r="B2" s="85" t="s">
        <v>24</v>
      </c>
      <c r="C2" s="85" t="s">
        <v>75</v>
      </c>
    </row>
    <row r="3" spans="1:3" ht="17.25" x14ac:dyDescent="0.25">
      <c r="A3" s="86" t="s">
        <v>27</v>
      </c>
      <c r="B3" s="91" t="s">
        <v>194</v>
      </c>
      <c r="C3" s="33">
        <v>345.25</v>
      </c>
    </row>
    <row r="4" spans="1:3" x14ac:dyDescent="0.25">
      <c r="A4" s="86" t="s">
        <v>28</v>
      </c>
      <c r="B4" s="93" t="s">
        <v>211</v>
      </c>
      <c r="C4" s="31">
        <v>0.2</v>
      </c>
    </row>
    <row r="5" spans="1:3" ht="32.25" x14ac:dyDescent="0.25">
      <c r="A5" s="86" t="s">
        <v>29</v>
      </c>
      <c r="B5" s="87" t="s">
        <v>232</v>
      </c>
      <c r="C5" s="32">
        <f>C3*C4</f>
        <v>69.05</v>
      </c>
    </row>
    <row r="6" spans="1:3" ht="30" x14ac:dyDescent="0.25">
      <c r="A6" s="184" t="s">
        <v>30</v>
      </c>
      <c r="B6" s="185" t="s">
        <v>213</v>
      </c>
      <c r="C6" s="186">
        <v>70</v>
      </c>
    </row>
    <row r="7" spans="1:3" ht="80.25" customHeight="1" x14ac:dyDescent="0.25">
      <c r="A7" s="148" t="s">
        <v>243</v>
      </c>
      <c r="B7" s="148"/>
      <c r="C7" s="148"/>
    </row>
    <row r="8" spans="1:3" ht="62.25" x14ac:dyDescent="0.25">
      <c r="A8" s="130" t="s">
        <v>101</v>
      </c>
      <c r="B8" s="130"/>
      <c r="C8" s="130"/>
    </row>
    <row r="9" spans="1:3" x14ac:dyDescent="0.25">
      <c r="A9" s="1"/>
      <c r="B9" s="1"/>
      <c r="C9" s="1"/>
    </row>
  </sheetData>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E4016-1284-43FB-B4CC-4856CEA073DA}">
  <dimension ref="A1:F23"/>
  <sheetViews>
    <sheetView zoomScaleNormal="100" workbookViewId="0"/>
  </sheetViews>
  <sheetFormatPr defaultRowHeight="15" x14ac:dyDescent="0.25"/>
  <cols>
    <col min="1" max="1" width="92.42578125" customWidth="1"/>
    <col min="2" max="2" width="34.85546875" customWidth="1"/>
    <col min="3" max="4" width="30.5703125" customWidth="1"/>
    <col min="5" max="5" width="16.140625" bestFit="1" customWidth="1"/>
    <col min="6" max="6" width="26.28515625" customWidth="1"/>
    <col min="7" max="7" width="20.7109375" customWidth="1"/>
    <col min="8" max="8" width="24.7109375" customWidth="1"/>
    <col min="9" max="9" width="19.85546875" customWidth="1"/>
    <col min="10" max="10" width="26.28515625" customWidth="1"/>
    <col min="11" max="11" width="20.7109375" customWidth="1"/>
    <col min="12" max="12" width="24.7109375" customWidth="1"/>
    <col min="13" max="13" width="19.85546875" customWidth="1"/>
    <col min="14" max="14" width="45" customWidth="1"/>
    <col min="15" max="15" width="11.140625" customWidth="1"/>
  </cols>
  <sheetData>
    <row r="1" spans="1:2" ht="18" customHeight="1" x14ac:dyDescent="0.25">
      <c r="A1" s="110" t="s">
        <v>184</v>
      </c>
      <c r="B1" s="110"/>
    </row>
    <row r="2" spans="1:2" x14ac:dyDescent="0.25">
      <c r="A2" s="10" t="s">
        <v>24</v>
      </c>
      <c r="B2" s="10" t="s">
        <v>75</v>
      </c>
    </row>
    <row r="3" spans="1:2" x14ac:dyDescent="0.25">
      <c r="A3" s="48" t="s">
        <v>81</v>
      </c>
      <c r="B3" s="56">
        <v>35</v>
      </c>
    </row>
    <row r="4" spans="1:2" x14ac:dyDescent="0.25">
      <c r="A4" s="104" t="s">
        <v>80</v>
      </c>
    </row>
    <row r="23" spans="6:6" x14ac:dyDescent="0.25">
      <c r="F23" t="s">
        <v>0</v>
      </c>
    </row>
  </sheetData>
  <pageMargins left="0.7" right="0.7" top="0.75" bottom="0.75" header="0.3" footer="0.3"/>
  <pageSetup orientation="portrait" verticalDpi="12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4E71A-9235-44D4-9B4E-F04176CC240E}">
  <dimension ref="A1:C13"/>
  <sheetViews>
    <sheetView zoomScaleNormal="100" workbookViewId="0"/>
  </sheetViews>
  <sheetFormatPr defaultRowHeight="15" x14ac:dyDescent="0.25"/>
  <cols>
    <col min="1" max="1" width="18.7109375" customWidth="1"/>
    <col min="2" max="2" width="123.140625" customWidth="1"/>
    <col min="3" max="3" width="25.140625" customWidth="1"/>
    <col min="4" max="4" width="36" customWidth="1"/>
    <col min="5" max="5" width="13.28515625" customWidth="1"/>
    <col min="6" max="7" width="21.140625" customWidth="1"/>
    <col min="8" max="14" width="13.28515625" customWidth="1"/>
    <col min="15" max="15" width="19.5703125" customWidth="1"/>
    <col min="16" max="16" width="10.42578125" customWidth="1"/>
    <col min="17" max="17" width="10.140625" bestFit="1" customWidth="1"/>
    <col min="18" max="18" width="12.140625" bestFit="1" customWidth="1"/>
    <col min="19" max="19" width="15.85546875" customWidth="1"/>
    <col min="21" max="21" width="18.85546875" customWidth="1"/>
    <col min="22" max="22" width="6.5703125" customWidth="1"/>
    <col min="23" max="23" width="10.140625" bestFit="1" customWidth="1"/>
    <col min="24" max="24" width="12.140625" bestFit="1" customWidth="1"/>
    <col min="27" max="27" width="15.42578125" bestFit="1" customWidth="1"/>
    <col min="28" max="28" width="7" bestFit="1" customWidth="1"/>
    <col min="29" max="29" width="11.7109375" customWidth="1"/>
  </cols>
  <sheetData>
    <row r="1" spans="1:3" ht="18.95" customHeight="1" x14ac:dyDescent="0.25">
      <c r="A1" s="143" t="s">
        <v>244</v>
      </c>
      <c r="B1" s="143"/>
      <c r="C1" s="143"/>
    </row>
    <row r="2" spans="1:3" ht="45" x14ac:dyDescent="0.25">
      <c r="A2" s="85" t="s">
        <v>23</v>
      </c>
      <c r="B2" s="94" t="s">
        <v>21</v>
      </c>
      <c r="C2" s="90" t="s">
        <v>77</v>
      </c>
    </row>
    <row r="3" spans="1:3" x14ac:dyDescent="0.25">
      <c r="A3" s="102" t="s">
        <v>27</v>
      </c>
      <c r="B3" s="168" t="s">
        <v>76</v>
      </c>
      <c r="C3" s="169">
        <v>1966</v>
      </c>
    </row>
    <row r="4" spans="1:3" x14ac:dyDescent="0.25">
      <c r="A4" s="103" t="s">
        <v>28</v>
      </c>
      <c r="B4" s="170" t="s">
        <v>19</v>
      </c>
      <c r="C4" s="171">
        <v>5619</v>
      </c>
    </row>
    <row r="5" spans="1:3" x14ac:dyDescent="0.25">
      <c r="A5" s="49"/>
      <c r="B5" s="39"/>
      <c r="C5" s="39"/>
    </row>
    <row r="6" spans="1:3" ht="18.75" x14ac:dyDescent="0.25">
      <c r="A6" s="136" t="s">
        <v>245</v>
      </c>
      <c r="B6" s="137"/>
      <c r="C6" s="138"/>
    </row>
    <row r="7" spans="1:3" ht="18.75" x14ac:dyDescent="0.25">
      <c r="A7" s="85" t="s">
        <v>23</v>
      </c>
      <c r="B7" s="85" t="s">
        <v>24</v>
      </c>
      <c r="C7" s="85" t="s">
        <v>75</v>
      </c>
    </row>
    <row r="8" spans="1:3" ht="18.95" customHeight="1" x14ac:dyDescent="0.25">
      <c r="A8" s="86" t="s">
        <v>27</v>
      </c>
      <c r="B8" s="105" t="s">
        <v>246</v>
      </c>
      <c r="C8" s="33">
        <f>MIN(C3,C4)</f>
        <v>1966</v>
      </c>
    </row>
    <row r="9" spans="1:3" x14ac:dyDescent="0.25">
      <c r="A9" s="86" t="s">
        <v>28</v>
      </c>
      <c r="B9" s="87" t="s">
        <v>211</v>
      </c>
      <c r="C9" s="31">
        <v>0.2</v>
      </c>
    </row>
    <row r="10" spans="1:3" ht="17.25" x14ac:dyDescent="0.25">
      <c r="A10" s="86" t="s">
        <v>29</v>
      </c>
      <c r="B10" s="87" t="s">
        <v>232</v>
      </c>
      <c r="C10" s="32">
        <f>C8*C9</f>
        <v>393.20000000000005</v>
      </c>
    </row>
    <row r="11" spans="1:3" ht="15.95" customHeight="1" x14ac:dyDescent="0.25">
      <c r="A11" s="184" t="s">
        <v>30</v>
      </c>
      <c r="B11" s="185" t="s">
        <v>213</v>
      </c>
      <c r="C11" s="186">
        <v>395</v>
      </c>
    </row>
    <row r="12" spans="1:3" ht="62.25" x14ac:dyDescent="0.25">
      <c r="A12" s="148" t="s">
        <v>247</v>
      </c>
      <c r="B12" s="148"/>
      <c r="C12" s="148"/>
    </row>
    <row r="13" spans="1:3" ht="50.25" customHeight="1" x14ac:dyDescent="0.25">
      <c r="A13" s="130" t="s">
        <v>101</v>
      </c>
      <c r="B13" s="130"/>
      <c r="C13" s="130"/>
    </row>
  </sheetData>
  <pageMargins left="0.7" right="0.7" top="0.75" bottom="0.75" header="0.3" footer="0.3"/>
  <pageSetup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80642-5BD4-4BEC-93DE-536A0FAA0911}">
  <dimension ref="A1:D13"/>
  <sheetViews>
    <sheetView zoomScaleNormal="100" workbookViewId="0"/>
  </sheetViews>
  <sheetFormatPr defaultRowHeight="15" x14ac:dyDescent="0.25"/>
  <cols>
    <col min="1" max="1" width="18.28515625" customWidth="1"/>
    <col min="2" max="2" width="96.28515625" customWidth="1"/>
    <col min="3" max="3" width="24.42578125" customWidth="1"/>
    <col min="4" max="4" width="36" customWidth="1"/>
    <col min="5" max="5" width="13.28515625" customWidth="1"/>
    <col min="6" max="7" width="21.140625" customWidth="1"/>
    <col min="8" max="14" width="13.28515625" customWidth="1"/>
    <col min="15" max="15" width="19.5703125" customWidth="1"/>
    <col min="16" max="16" width="10.42578125" customWidth="1"/>
    <col min="17" max="17" width="10.140625" bestFit="1" customWidth="1"/>
    <col min="18" max="18" width="12.140625" bestFit="1" customWidth="1"/>
    <col min="19" max="19" width="15.85546875" customWidth="1"/>
    <col min="21" max="21" width="18.85546875" customWidth="1"/>
    <col min="22" max="22" width="6.5703125" customWidth="1"/>
    <col min="23" max="23" width="10.140625" bestFit="1" customWidth="1"/>
    <col min="24" max="24" width="12.140625" bestFit="1" customWidth="1"/>
    <col min="27" max="27" width="15.42578125" bestFit="1" customWidth="1"/>
    <col min="28" max="28" width="7" bestFit="1" customWidth="1"/>
    <col min="29" max="29" width="11.7109375" customWidth="1"/>
  </cols>
  <sheetData>
    <row r="1" spans="1:4" ht="18.600000000000001" customHeight="1" x14ac:dyDescent="0.25">
      <c r="A1" s="143" t="s">
        <v>248</v>
      </c>
      <c r="B1" s="143"/>
      <c r="C1" s="143"/>
    </row>
    <row r="2" spans="1:4" ht="30" x14ac:dyDescent="0.25">
      <c r="A2" s="85" t="s">
        <v>23</v>
      </c>
      <c r="B2" s="94" t="s">
        <v>21</v>
      </c>
      <c r="C2" s="90" t="s">
        <v>78</v>
      </c>
      <c r="D2" s="145"/>
    </row>
    <row r="3" spans="1:4" x14ac:dyDescent="0.25">
      <c r="A3" s="102" t="s">
        <v>27</v>
      </c>
      <c r="B3" s="172" t="s">
        <v>76</v>
      </c>
      <c r="C3" s="173">
        <v>1712</v>
      </c>
    </row>
    <row r="4" spans="1:4" x14ac:dyDescent="0.25">
      <c r="A4" s="100" t="s">
        <v>28</v>
      </c>
      <c r="B4" s="170" t="s">
        <v>19</v>
      </c>
      <c r="C4" s="171">
        <v>2702</v>
      </c>
    </row>
    <row r="5" spans="1:4" x14ac:dyDescent="0.25">
      <c r="A5" s="39"/>
      <c r="B5" s="39"/>
      <c r="C5" s="39"/>
    </row>
    <row r="6" spans="1:4" ht="18.75" x14ac:dyDescent="0.25">
      <c r="A6" s="136" t="s">
        <v>249</v>
      </c>
      <c r="B6" s="137"/>
      <c r="C6" s="138"/>
    </row>
    <row r="7" spans="1:4" ht="18.75" x14ac:dyDescent="0.25">
      <c r="A7" s="85" t="s">
        <v>23</v>
      </c>
      <c r="B7" s="85" t="s">
        <v>24</v>
      </c>
      <c r="C7" s="85" t="s">
        <v>75</v>
      </c>
    </row>
    <row r="8" spans="1:4" ht="32.25" x14ac:dyDescent="0.25">
      <c r="A8" s="86" t="s">
        <v>27</v>
      </c>
      <c r="B8" s="105" t="s">
        <v>246</v>
      </c>
      <c r="C8" s="33">
        <f>MIN(C3,C4)</f>
        <v>1712</v>
      </c>
    </row>
    <row r="9" spans="1:4" x14ac:dyDescent="0.25">
      <c r="A9" s="86" t="s">
        <v>28</v>
      </c>
      <c r="B9" s="87" t="s">
        <v>211</v>
      </c>
      <c r="C9" s="31">
        <v>0.2</v>
      </c>
    </row>
    <row r="10" spans="1:4" ht="32.25" x14ac:dyDescent="0.25">
      <c r="A10" s="86" t="s">
        <v>29</v>
      </c>
      <c r="B10" s="87" t="s">
        <v>232</v>
      </c>
      <c r="C10" s="32">
        <f>C8*C9</f>
        <v>342.40000000000003</v>
      </c>
    </row>
    <row r="11" spans="1:4" x14ac:dyDescent="0.25">
      <c r="A11" s="184" t="s">
        <v>30</v>
      </c>
      <c r="B11" s="185" t="s">
        <v>213</v>
      </c>
      <c r="C11" s="186">
        <v>340</v>
      </c>
    </row>
    <row r="12" spans="1:4" ht="63" customHeight="1" x14ac:dyDescent="0.25">
      <c r="A12" s="148" t="s">
        <v>250</v>
      </c>
      <c r="B12" s="148"/>
      <c r="C12" s="148"/>
    </row>
    <row r="13" spans="1:4" ht="48" customHeight="1" x14ac:dyDescent="0.25">
      <c r="A13" s="130" t="s">
        <v>101</v>
      </c>
      <c r="B13" s="130"/>
      <c r="C13" s="130"/>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61FA90-8C20-4016-926B-9C8AFF85EA86}">
  <dimension ref="A1:E36"/>
  <sheetViews>
    <sheetView zoomScaleNormal="100" zoomScaleSheetLayoutView="110" workbookViewId="0"/>
  </sheetViews>
  <sheetFormatPr defaultColWidth="8.7109375" defaultRowHeight="15" x14ac:dyDescent="0.25"/>
  <cols>
    <col min="1" max="1" width="13.42578125" style="1" bestFit="1" customWidth="1"/>
    <col min="2" max="2" width="78" style="1" customWidth="1"/>
    <col min="3" max="3" width="19.140625" style="1" bestFit="1" customWidth="1"/>
    <col min="4" max="5" width="9.85546875" style="1" bestFit="1" customWidth="1"/>
    <col min="6" max="8" width="11.7109375" style="1" customWidth="1"/>
    <col min="9" max="9" width="11.140625" style="1" customWidth="1"/>
    <col min="10" max="12" width="11.5703125" style="1" customWidth="1"/>
    <col min="13" max="15" width="10.85546875" style="1" customWidth="1"/>
    <col min="16" max="16384" width="8.7109375" style="1"/>
  </cols>
  <sheetData>
    <row r="1" spans="1:5" ht="18.75" x14ac:dyDescent="0.25">
      <c r="A1" s="112" t="s">
        <v>164</v>
      </c>
      <c r="B1" s="112"/>
      <c r="C1" s="112"/>
    </row>
    <row r="2" spans="1:5" ht="30" x14ac:dyDescent="0.25">
      <c r="A2" s="63" t="s">
        <v>23</v>
      </c>
      <c r="B2" s="64" t="s">
        <v>24</v>
      </c>
      <c r="C2" s="64" t="s">
        <v>48</v>
      </c>
    </row>
    <row r="3" spans="1:5" ht="17.25" x14ac:dyDescent="0.25">
      <c r="A3" s="153" t="s">
        <v>27</v>
      </c>
      <c r="B3" s="154" t="s">
        <v>88</v>
      </c>
      <c r="C3" s="149">
        <v>1748</v>
      </c>
    </row>
    <row r="4" spans="1:5" ht="17.25" x14ac:dyDescent="0.25">
      <c r="A4" s="67" t="s">
        <v>28</v>
      </c>
      <c r="B4" s="66" t="s">
        <v>112</v>
      </c>
      <c r="C4" s="150">
        <v>104</v>
      </c>
    </row>
    <row r="5" spans="1:5" ht="17.25" x14ac:dyDescent="0.25">
      <c r="A5" s="67" t="s">
        <v>29</v>
      </c>
      <c r="B5" s="66" t="s">
        <v>113</v>
      </c>
      <c r="C5" s="150">
        <v>66</v>
      </c>
    </row>
    <row r="6" spans="1:5" ht="17.25" x14ac:dyDescent="0.25">
      <c r="A6" s="67" t="s">
        <v>30</v>
      </c>
      <c r="B6" s="66" t="s">
        <v>114</v>
      </c>
      <c r="C6" s="150">
        <v>32</v>
      </c>
    </row>
    <row r="7" spans="1:5" ht="17.25" x14ac:dyDescent="0.25">
      <c r="A7" s="67" t="s">
        <v>31</v>
      </c>
      <c r="B7" s="66" t="s">
        <v>115</v>
      </c>
      <c r="C7" s="150">
        <v>29</v>
      </c>
    </row>
    <row r="8" spans="1:5" ht="17.25" x14ac:dyDescent="0.25">
      <c r="A8" s="67" t="s">
        <v>32</v>
      </c>
      <c r="B8" s="66" t="s">
        <v>116</v>
      </c>
      <c r="C8" s="150">
        <v>26</v>
      </c>
    </row>
    <row r="9" spans="1:5" ht="17.25" x14ac:dyDescent="0.25">
      <c r="A9" s="68" t="s">
        <v>33</v>
      </c>
      <c r="B9" s="69" t="s">
        <v>117</v>
      </c>
      <c r="C9" s="151">
        <v>25</v>
      </c>
    </row>
    <row r="10" spans="1:5" ht="37.5" customHeight="1" x14ac:dyDescent="0.25">
      <c r="A10" s="152" t="s">
        <v>149</v>
      </c>
      <c r="B10" s="152"/>
      <c r="C10" s="152"/>
    </row>
    <row r="11" spans="1:5" ht="19.5" customHeight="1" x14ac:dyDescent="0.25">
      <c r="A11" s="122" t="s">
        <v>97</v>
      </c>
      <c r="B11" s="122"/>
      <c r="C11" s="122"/>
    </row>
    <row r="12" spans="1:5" x14ac:dyDescent="0.25">
      <c r="A12" s="6"/>
      <c r="B12" s="6"/>
      <c r="C12" s="6"/>
    </row>
    <row r="13" spans="1:5" ht="35.1" customHeight="1" x14ac:dyDescent="0.25">
      <c r="A13" s="123" t="s">
        <v>165</v>
      </c>
      <c r="B13" s="124"/>
      <c r="C13" s="124"/>
      <c r="D13" s="124"/>
      <c r="E13" s="125"/>
    </row>
    <row r="14" spans="1:5" ht="30" x14ac:dyDescent="0.25">
      <c r="A14" s="77" t="s">
        <v>23</v>
      </c>
      <c r="B14" s="78" t="s">
        <v>24</v>
      </c>
      <c r="C14" s="63" t="s">
        <v>40</v>
      </c>
      <c r="D14" s="63" t="s">
        <v>41</v>
      </c>
      <c r="E14" s="63" t="s">
        <v>42</v>
      </c>
    </row>
    <row r="15" spans="1:5" x14ac:dyDescent="0.25">
      <c r="A15" s="67" t="s">
        <v>27</v>
      </c>
      <c r="B15" s="71" t="s">
        <v>43</v>
      </c>
      <c r="C15" s="115">
        <f>C3</f>
        <v>1748</v>
      </c>
      <c r="D15" s="116"/>
      <c r="E15" s="117"/>
    </row>
    <row r="16" spans="1:5" ht="45" x14ac:dyDescent="0.25">
      <c r="A16" s="67" t="s">
        <v>28</v>
      </c>
      <c r="B16" s="72" t="s">
        <v>118</v>
      </c>
      <c r="C16" s="7">
        <f>SUM(C4:C8)+(C9*3)</f>
        <v>332</v>
      </c>
      <c r="D16" s="7">
        <f>SUM(C4:C8)+(C9*10)</f>
        <v>507</v>
      </c>
      <c r="E16" s="22">
        <f>SUM(C4:C8)+(C9*55)</f>
        <v>1632</v>
      </c>
    </row>
    <row r="17" spans="1:5" ht="30" x14ac:dyDescent="0.25">
      <c r="A17" s="73" t="s">
        <v>29</v>
      </c>
      <c r="B17" s="74" t="s">
        <v>93</v>
      </c>
      <c r="C17" s="7">
        <f>C15+C16</f>
        <v>2080</v>
      </c>
      <c r="D17" s="7">
        <f>C15+D16</f>
        <v>2255</v>
      </c>
      <c r="E17" s="23">
        <f>C15+E16</f>
        <v>3380</v>
      </c>
    </row>
    <row r="18" spans="1:5" ht="30" x14ac:dyDescent="0.25">
      <c r="A18" s="73" t="s">
        <v>30</v>
      </c>
      <c r="B18" s="74" t="s">
        <v>151</v>
      </c>
      <c r="C18" s="121">
        <f>'MOOP Limits'!D7</f>
        <v>9250</v>
      </c>
      <c r="D18" s="113"/>
      <c r="E18" s="114"/>
    </row>
    <row r="19" spans="1:5" ht="45" x14ac:dyDescent="0.25">
      <c r="A19" s="73" t="s">
        <v>31</v>
      </c>
      <c r="B19" s="74" t="s">
        <v>166</v>
      </c>
      <c r="C19" s="8">
        <f>MIN(C17, C18)</f>
        <v>2080</v>
      </c>
      <c r="D19" s="8">
        <f>MIN(D17, C18)</f>
        <v>2255</v>
      </c>
      <c r="E19" s="50">
        <f>MIN(E17, C18)</f>
        <v>3380</v>
      </c>
    </row>
    <row r="20" spans="1:5" ht="30" x14ac:dyDescent="0.25">
      <c r="A20" s="75" t="s">
        <v>32</v>
      </c>
      <c r="B20" s="76" t="s">
        <v>167</v>
      </c>
      <c r="C20" s="43">
        <v>2080</v>
      </c>
      <c r="D20" s="43">
        <v>2255</v>
      </c>
      <c r="E20" s="43">
        <v>3380</v>
      </c>
    </row>
    <row r="22" spans="1:5" ht="36.950000000000003" customHeight="1" x14ac:dyDescent="0.25">
      <c r="A22" s="123" t="s">
        <v>168</v>
      </c>
      <c r="B22" s="124"/>
      <c r="C22" s="124"/>
      <c r="D22" s="124"/>
      <c r="E22" s="125"/>
    </row>
    <row r="23" spans="1:5" ht="30" x14ac:dyDescent="0.25">
      <c r="A23" s="77" t="s">
        <v>23</v>
      </c>
      <c r="B23" s="78" t="s">
        <v>24</v>
      </c>
      <c r="C23" s="77" t="s">
        <v>40</v>
      </c>
      <c r="D23" s="77" t="s">
        <v>41</v>
      </c>
      <c r="E23" s="77" t="s">
        <v>42</v>
      </c>
    </row>
    <row r="24" spans="1:5" ht="30" x14ac:dyDescent="0.25">
      <c r="A24" s="67" t="s">
        <v>27</v>
      </c>
      <c r="B24" s="71" t="s">
        <v>98</v>
      </c>
      <c r="C24" s="7">
        <f>C17*1.25</f>
        <v>2600</v>
      </c>
      <c r="D24" s="7">
        <f>D17*1.25</f>
        <v>2818.75</v>
      </c>
      <c r="E24" s="22">
        <f>E17*1.25</f>
        <v>4225</v>
      </c>
    </row>
    <row r="25" spans="1:5" ht="30" x14ac:dyDescent="0.25">
      <c r="A25" s="73" t="s">
        <v>28</v>
      </c>
      <c r="B25" s="74" t="s">
        <v>169</v>
      </c>
      <c r="C25" s="121">
        <f>'MOOP Limits'!C7</f>
        <v>4200</v>
      </c>
      <c r="D25" s="113"/>
      <c r="E25" s="114"/>
    </row>
    <row r="26" spans="1:5" ht="30" x14ac:dyDescent="0.25">
      <c r="A26" s="73" t="s">
        <v>29</v>
      </c>
      <c r="B26" s="74" t="s">
        <v>170</v>
      </c>
      <c r="C26" s="8">
        <f>MIN(C24, C25)</f>
        <v>2600</v>
      </c>
      <c r="D26" s="8">
        <f>MIN(D24, C25)</f>
        <v>2818.75</v>
      </c>
      <c r="E26" s="47">
        <f>MIN(E24,C25)</f>
        <v>4200</v>
      </c>
    </row>
    <row r="27" spans="1:5" ht="30" x14ac:dyDescent="0.25">
      <c r="A27" s="75" t="s">
        <v>30</v>
      </c>
      <c r="B27" s="76" t="s">
        <v>171</v>
      </c>
      <c r="C27" s="42">
        <v>2600</v>
      </c>
      <c r="D27" s="42">
        <v>2819</v>
      </c>
      <c r="E27" s="42">
        <v>4200</v>
      </c>
    </row>
    <row r="29" spans="1:5" ht="36.950000000000003" customHeight="1" x14ac:dyDescent="0.25">
      <c r="A29" s="123" t="s">
        <v>172</v>
      </c>
      <c r="B29" s="124"/>
      <c r="C29" s="124"/>
      <c r="D29" s="124"/>
      <c r="E29" s="125"/>
    </row>
    <row r="30" spans="1:5" ht="30" x14ac:dyDescent="0.25">
      <c r="A30" s="182" t="s">
        <v>23</v>
      </c>
      <c r="B30" s="183" t="s">
        <v>24</v>
      </c>
      <c r="C30" s="181" t="s">
        <v>40</v>
      </c>
      <c r="D30" s="181" t="s">
        <v>41</v>
      </c>
      <c r="E30" s="181" t="s">
        <v>42</v>
      </c>
    </row>
    <row r="31" spans="1:5" ht="30" x14ac:dyDescent="0.25">
      <c r="A31" s="67" t="s">
        <v>27</v>
      </c>
      <c r="B31" s="71" t="s">
        <v>173</v>
      </c>
      <c r="C31" s="24">
        <f>C19</f>
        <v>2080</v>
      </c>
      <c r="D31" s="9">
        <f>D19</f>
        <v>2255</v>
      </c>
      <c r="E31" s="25">
        <f>E19</f>
        <v>3380</v>
      </c>
    </row>
    <row r="32" spans="1:5" ht="30" x14ac:dyDescent="0.25">
      <c r="A32" s="67" t="s">
        <v>28</v>
      </c>
      <c r="B32" s="74" t="s">
        <v>174</v>
      </c>
      <c r="C32" s="7">
        <f>C26</f>
        <v>2600</v>
      </c>
      <c r="D32" s="7">
        <f>D26</f>
        <v>2818.75</v>
      </c>
      <c r="E32" s="22">
        <f>E26</f>
        <v>4200</v>
      </c>
    </row>
    <row r="33" spans="1:5" ht="45" x14ac:dyDescent="0.25">
      <c r="A33" s="67" t="s">
        <v>29</v>
      </c>
      <c r="B33" s="66" t="s">
        <v>99</v>
      </c>
      <c r="C33" s="27">
        <f>((C32-C31)/2)+C31</f>
        <v>2340</v>
      </c>
      <c r="D33" s="7">
        <f>((D32-D31)/2)+D31</f>
        <v>2536.875</v>
      </c>
      <c r="E33" s="23">
        <f>((E32-E31)/2)+E31</f>
        <v>3790</v>
      </c>
    </row>
    <row r="34" spans="1:5" ht="30" x14ac:dyDescent="0.25">
      <c r="A34" s="73" t="s">
        <v>30</v>
      </c>
      <c r="B34" s="66" t="s">
        <v>161</v>
      </c>
      <c r="C34" s="121">
        <f>'MOOP Limits'!C17</f>
        <v>6750</v>
      </c>
      <c r="D34" s="113"/>
      <c r="E34" s="114"/>
    </row>
    <row r="35" spans="1:5" ht="30.6" customHeight="1" x14ac:dyDescent="0.25">
      <c r="A35" s="81" t="s">
        <v>31</v>
      </c>
      <c r="B35" s="69" t="s">
        <v>175</v>
      </c>
      <c r="C35" s="26">
        <f>MIN(C33,C34)</f>
        <v>2340</v>
      </c>
      <c r="D35" s="26">
        <f>MIN(D33,C34)</f>
        <v>2536.875</v>
      </c>
      <c r="E35" s="28">
        <f>MIN(E33,C34)</f>
        <v>3790</v>
      </c>
    </row>
    <row r="36" spans="1:5" ht="30" x14ac:dyDescent="0.25">
      <c r="A36" s="82" t="s">
        <v>32</v>
      </c>
      <c r="B36" s="83" t="s">
        <v>176</v>
      </c>
      <c r="C36" s="44">
        <v>2340</v>
      </c>
      <c r="D36" s="44">
        <v>2537</v>
      </c>
      <c r="E36" s="44">
        <v>3790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1"/>
  <sheetViews>
    <sheetView zoomScaleNormal="100" workbookViewId="0"/>
  </sheetViews>
  <sheetFormatPr defaultColWidth="8.7109375" defaultRowHeight="15" x14ac:dyDescent="0.25"/>
  <cols>
    <col min="1" max="1" width="62.28515625" customWidth="1"/>
    <col min="2" max="2" width="71.28515625" customWidth="1"/>
    <col min="3" max="3" width="33.5703125" customWidth="1"/>
    <col min="4" max="4" width="31.28515625" customWidth="1"/>
    <col min="5" max="5" width="18" bestFit="1" customWidth="1"/>
    <col min="6" max="6" width="10.85546875" customWidth="1"/>
    <col min="7" max="9" width="11.140625" customWidth="1"/>
    <col min="10" max="12" width="11.5703125" customWidth="1"/>
    <col min="13" max="15" width="10.85546875" customWidth="1"/>
  </cols>
  <sheetData>
    <row r="1" spans="1:4" ht="18.75" x14ac:dyDescent="0.25">
      <c r="A1" s="110" t="s">
        <v>177</v>
      </c>
      <c r="B1" s="110"/>
      <c r="C1" s="110"/>
      <c r="D1" s="110"/>
    </row>
    <row r="2" spans="1:4" x14ac:dyDescent="0.25">
      <c r="A2" s="10" t="s">
        <v>24</v>
      </c>
      <c r="B2" s="10" t="s">
        <v>4</v>
      </c>
      <c r="C2" s="10" t="s">
        <v>3</v>
      </c>
      <c r="D2" s="10" t="s">
        <v>2</v>
      </c>
    </row>
    <row r="3" spans="1:4" ht="30" x14ac:dyDescent="0.25">
      <c r="A3" s="11" t="s">
        <v>178</v>
      </c>
      <c r="B3" s="56" t="s">
        <v>83</v>
      </c>
      <c r="C3" s="56" t="s">
        <v>84</v>
      </c>
      <c r="D3" s="56" t="s">
        <v>85</v>
      </c>
    </row>
    <row r="6" spans="1:4" ht="36.6" customHeight="1" x14ac:dyDescent="0.25">
      <c r="A6" s="110" t="s">
        <v>179</v>
      </c>
      <c r="B6" s="110"/>
      <c r="C6" s="110"/>
    </row>
    <row r="7" spans="1:4" x14ac:dyDescent="0.25">
      <c r="A7" s="10" t="s">
        <v>23</v>
      </c>
      <c r="B7" s="10" t="s">
        <v>24</v>
      </c>
      <c r="C7" s="10" t="s">
        <v>47</v>
      </c>
    </row>
    <row r="8" spans="1:4" x14ac:dyDescent="0.25">
      <c r="A8" s="13" t="s">
        <v>27</v>
      </c>
      <c r="B8" s="12" t="s">
        <v>180</v>
      </c>
      <c r="C8" s="52">
        <v>1748</v>
      </c>
    </row>
    <row r="9" spans="1:4" ht="30" x14ac:dyDescent="0.25">
      <c r="A9" s="14" t="s">
        <v>28</v>
      </c>
      <c r="B9" s="15" t="s">
        <v>49</v>
      </c>
      <c r="C9" s="54">
        <f>C8*(1/8)</f>
        <v>218.5</v>
      </c>
    </row>
    <row r="10" spans="1:4" ht="30" x14ac:dyDescent="0.25">
      <c r="A10" s="45" t="s">
        <v>29</v>
      </c>
      <c r="B10" s="46" t="s">
        <v>181</v>
      </c>
      <c r="C10" s="84" t="s">
        <v>183</v>
      </c>
    </row>
    <row r="11" spans="1:4" ht="33" customHeight="1" x14ac:dyDescent="0.25">
      <c r="A11" s="155" t="s">
        <v>182</v>
      </c>
      <c r="B11" s="155"/>
      <c r="C11" s="155"/>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1"/>
  <dimension ref="A1:Z18"/>
  <sheetViews>
    <sheetView zoomScaleNormal="100" workbookViewId="0"/>
  </sheetViews>
  <sheetFormatPr defaultRowHeight="15" x14ac:dyDescent="0.25"/>
  <cols>
    <col min="1" max="1" width="16.85546875" bestFit="1" customWidth="1"/>
    <col min="2" max="2" width="96.140625" customWidth="1"/>
    <col min="3" max="3" width="15.42578125" bestFit="1" customWidth="1"/>
    <col min="4" max="4" width="23" bestFit="1" customWidth="1"/>
    <col min="5" max="5" width="21" bestFit="1" customWidth="1"/>
    <col min="6" max="6" width="11.7109375" customWidth="1"/>
    <col min="7" max="7" width="18.28515625" bestFit="1" customWidth="1"/>
    <col min="8" max="8" width="12" bestFit="1" customWidth="1"/>
    <col min="9" max="9" width="13.42578125" bestFit="1" customWidth="1"/>
    <col min="10" max="10" width="153.140625" bestFit="1" customWidth="1"/>
    <col min="11" max="11" width="15.42578125" bestFit="1" customWidth="1"/>
    <col min="12" max="12" width="10.5703125" bestFit="1" customWidth="1"/>
    <col min="13" max="13" width="12.7109375" bestFit="1" customWidth="1"/>
    <col min="14" max="14" width="10.5703125" bestFit="1" customWidth="1"/>
    <col min="15" max="15" width="12.7109375" bestFit="1" customWidth="1"/>
    <col min="16" max="19" width="13.28515625" customWidth="1"/>
    <col min="20" max="20" width="19.5703125" customWidth="1"/>
    <col min="21" max="21" width="10.42578125" customWidth="1"/>
    <col min="22" max="22" width="10.140625" bestFit="1" customWidth="1"/>
    <col min="23" max="23" width="12.140625" bestFit="1" customWidth="1"/>
    <col min="24" max="24" width="15.85546875" customWidth="1"/>
    <col min="26" max="26" width="18.85546875" customWidth="1"/>
    <col min="27" max="27" width="6.5703125" customWidth="1"/>
    <col min="28" max="28" width="10.140625" bestFit="1" customWidth="1"/>
    <col min="29" max="29" width="12.140625" bestFit="1" customWidth="1"/>
    <col min="32" max="32" width="15.42578125" bestFit="1" customWidth="1"/>
    <col min="33" max="33" width="7" bestFit="1" customWidth="1"/>
    <col min="34" max="34" width="11.7109375" customWidth="1"/>
  </cols>
  <sheetData>
    <row r="1" spans="1:26" ht="18.75" x14ac:dyDescent="0.25">
      <c r="A1" s="126" t="s">
        <v>185</v>
      </c>
      <c r="B1" s="127"/>
      <c r="C1" s="127"/>
      <c r="D1" s="127"/>
      <c r="E1" s="127"/>
      <c r="T1" s="4"/>
      <c r="V1" s="4"/>
      <c r="Z1" s="4"/>
    </row>
    <row r="2" spans="1:26" ht="18.75" x14ac:dyDescent="0.25">
      <c r="A2" s="85" t="s">
        <v>23</v>
      </c>
      <c r="B2" s="85" t="s">
        <v>24</v>
      </c>
      <c r="C2" s="85" t="s">
        <v>4</v>
      </c>
      <c r="D2" s="85" t="s">
        <v>3</v>
      </c>
      <c r="E2" s="85" t="s">
        <v>2</v>
      </c>
    </row>
    <row r="3" spans="1:26" x14ac:dyDescent="0.25">
      <c r="A3" s="86" t="s">
        <v>27</v>
      </c>
      <c r="B3" s="87" t="s">
        <v>188</v>
      </c>
      <c r="C3" s="142">
        <v>104</v>
      </c>
      <c r="D3" s="142"/>
      <c r="E3" s="128"/>
    </row>
    <row r="4" spans="1:26" x14ac:dyDescent="0.25">
      <c r="A4" s="86" t="s">
        <v>28</v>
      </c>
      <c r="B4" s="87" t="s">
        <v>100</v>
      </c>
      <c r="C4" s="31">
        <v>0.5</v>
      </c>
      <c r="D4" s="31">
        <v>0.4</v>
      </c>
      <c r="E4" s="31">
        <v>0.3</v>
      </c>
      <c r="I4" s="2"/>
      <c r="J4" s="2"/>
      <c r="K4" s="3"/>
    </row>
    <row r="5" spans="1:26" ht="30" x14ac:dyDescent="0.25">
      <c r="A5" s="86" t="s">
        <v>29</v>
      </c>
      <c r="B5" s="87" t="s">
        <v>186</v>
      </c>
      <c r="C5" s="32">
        <f>C3*C4</f>
        <v>52</v>
      </c>
      <c r="D5" s="32">
        <f>C3*D4</f>
        <v>41.6</v>
      </c>
      <c r="E5" s="32">
        <f>C3*E4</f>
        <v>31.2</v>
      </c>
    </row>
    <row r="6" spans="1:26" ht="30" x14ac:dyDescent="0.25">
      <c r="A6" s="184" t="s">
        <v>30</v>
      </c>
      <c r="B6" s="185" t="s">
        <v>187</v>
      </c>
      <c r="C6" s="186">
        <v>50</v>
      </c>
      <c r="D6" s="186">
        <v>40</v>
      </c>
      <c r="E6" s="186">
        <v>30</v>
      </c>
    </row>
    <row r="7" spans="1:26" ht="46.5" customHeight="1" x14ac:dyDescent="0.25">
      <c r="A7" s="129" t="s">
        <v>189</v>
      </c>
      <c r="B7" s="129"/>
      <c r="C7" s="129"/>
      <c r="D7" s="129"/>
      <c r="E7" s="129"/>
    </row>
    <row r="8" spans="1:26" x14ac:dyDescent="0.25">
      <c r="A8" s="30"/>
      <c r="B8" s="30"/>
      <c r="C8" s="30"/>
      <c r="D8" s="30"/>
      <c r="E8" s="30"/>
    </row>
    <row r="9" spans="1:26" x14ac:dyDescent="0.25">
      <c r="A9" s="30"/>
      <c r="B9" s="30" t="s">
        <v>0</v>
      </c>
      <c r="C9" s="30"/>
      <c r="D9" s="30"/>
      <c r="E9" s="30"/>
    </row>
    <row r="10" spans="1:26" x14ac:dyDescent="0.25">
      <c r="A10" s="30"/>
      <c r="B10" s="30"/>
      <c r="C10" s="30"/>
      <c r="D10" s="30"/>
      <c r="E10" s="30"/>
    </row>
    <row r="11" spans="1:26" x14ac:dyDescent="0.25">
      <c r="A11" s="30"/>
      <c r="B11" s="30"/>
      <c r="C11" s="30"/>
      <c r="D11" s="30"/>
      <c r="E11" s="30"/>
    </row>
    <row r="12" spans="1:26" x14ac:dyDescent="0.25">
      <c r="A12" s="30"/>
      <c r="B12" s="30"/>
      <c r="C12" s="30"/>
      <c r="D12" s="30"/>
      <c r="E12" s="30"/>
    </row>
    <row r="13" spans="1:26" x14ac:dyDescent="0.25">
      <c r="A13" s="30"/>
      <c r="B13" s="30"/>
      <c r="C13" s="30"/>
      <c r="D13" s="30"/>
      <c r="E13" s="30"/>
    </row>
    <row r="14" spans="1:26" x14ac:dyDescent="0.25">
      <c r="A14" s="30"/>
      <c r="B14" s="30"/>
      <c r="C14" s="30"/>
      <c r="D14" s="30"/>
      <c r="E14" s="30"/>
    </row>
    <row r="15" spans="1:26" x14ac:dyDescent="0.25">
      <c r="A15" s="30"/>
      <c r="B15" s="30"/>
      <c r="C15" s="30"/>
      <c r="D15" s="30"/>
      <c r="E15" s="30"/>
    </row>
    <row r="16" spans="1:26" x14ac:dyDescent="0.25">
      <c r="A16" s="30"/>
      <c r="B16" s="30"/>
      <c r="C16" s="30"/>
      <c r="D16" s="30"/>
      <c r="E16" s="30"/>
    </row>
    <row r="17" spans="1:5" x14ac:dyDescent="0.25">
      <c r="A17" s="30"/>
      <c r="B17" s="30"/>
      <c r="C17" s="30"/>
      <c r="D17" s="30"/>
      <c r="E17" s="30"/>
    </row>
    <row r="18" spans="1:5" x14ac:dyDescent="0.25">
      <c r="A18" s="30"/>
      <c r="B18" s="30"/>
      <c r="C18" s="30"/>
      <c r="D18" s="30"/>
      <c r="E18" s="30"/>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8"/>
  <sheetViews>
    <sheetView zoomScaleNormal="100" workbookViewId="0"/>
  </sheetViews>
  <sheetFormatPr defaultRowHeight="15" x14ac:dyDescent="0.25"/>
  <cols>
    <col min="1" max="1" width="17.140625" bestFit="1" customWidth="1"/>
    <col min="2" max="2" width="81.85546875" customWidth="1"/>
    <col min="3" max="3" width="16.140625" bestFit="1" customWidth="1"/>
    <col min="4" max="4" width="22.85546875" bestFit="1" customWidth="1"/>
    <col min="5" max="5" width="21" bestFit="1" customWidth="1"/>
    <col min="6" max="6" width="6.5703125" customWidth="1"/>
    <col min="7" max="7" width="6.5703125" bestFit="1" customWidth="1"/>
    <col min="8" max="8" width="12.85546875" customWidth="1"/>
    <col min="9" max="9" width="18.28515625" bestFit="1" customWidth="1"/>
    <col min="10" max="10" width="12.140625" bestFit="1" customWidth="1"/>
    <col min="11" max="11" width="18.42578125" bestFit="1" customWidth="1"/>
    <col min="12" max="12" width="16.85546875" bestFit="1" customWidth="1"/>
    <col min="13" max="13" width="13.28515625" customWidth="1"/>
    <col min="14" max="15" width="24.140625" customWidth="1"/>
    <col min="16" max="21" width="13.28515625" customWidth="1"/>
    <col min="22" max="22" width="19.5703125" customWidth="1"/>
    <col min="23" max="23" width="10.42578125" customWidth="1"/>
    <col min="24" max="24" width="10.140625" bestFit="1" customWidth="1"/>
    <col min="25" max="25" width="12.140625" bestFit="1" customWidth="1"/>
    <col min="26" max="26" width="15.85546875" customWidth="1"/>
    <col min="28" max="28" width="18.85546875" customWidth="1"/>
    <col min="29" max="29" width="6.5703125" customWidth="1"/>
    <col min="30" max="30" width="10.140625" bestFit="1" customWidth="1"/>
    <col min="31" max="31" width="12.140625" bestFit="1" customWidth="1"/>
    <col min="34" max="34" width="15.42578125" bestFit="1" customWidth="1"/>
    <col min="35" max="35" width="7" bestFit="1" customWidth="1"/>
    <col min="36" max="36" width="11.7109375" customWidth="1"/>
  </cols>
  <sheetData>
    <row r="1" spans="1:8" ht="18.75" x14ac:dyDescent="0.25">
      <c r="A1" s="126" t="s">
        <v>190</v>
      </c>
      <c r="B1" s="127"/>
      <c r="C1" s="127"/>
      <c r="D1" s="127"/>
      <c r="E1" s="127"/>
    </row>
    <row r="2" spans="1:8" ht="18.75" x14ac:dyDescent="0.25">
      <c r="A2" s="85" t="s">
        <v>23</v>
      </c>
      <c r="B2" s="85" t="s">
        <v>24</v>
      </c>
      <c r="C2" s="85" t="s">
        <v>4</v>
      </c>
      <c r="D2" s="85" t="s">
        <v>3</v>
      </c>
      <c r="E2" s="85" t="s">
        <v>2</v>
      </c>
    </row>
    <row r="3" spans="1:8" x14ac:dyDescent="0.25">
      <c r="A3" s="86" t="s">
        <v>27</v>
      </c>
      <c r="B3" s="87" t="s">
        <v>188</v>
      </c>
      <c r="C3" s="128">
        <v>129</v>
      </c>
      <c r="D3" s="128"/>
      <c r="E3" s="128"/>
      <c r="H3" s="3"/>
    </row>
    <row r="4" spans="1:8" x14ac:dyDescent="0.25">
      <c r="A4" s="86" t="s">
        <v>28</v>
      </c>
      <c r="B4" s="87" t="s">
        <v>100</v>
      </c>
      <c r="C4" s="31">
        <v>0.5</v>
      </c>
      <c r="D4" s="31">
        <v>0.4</v>
      </c>
      <c r="E4" s="31">
        <v>0.3</v>
      </c>
    </row>
    <row r="5" spans="1:8" ht="30" x14ac:dyDescent="0.25">
      <c r="A5" s="86" t="s">
        <v>29</v>
      </c>
      <c r="B5" s="87" t="s">
        <v>186</v>
      </c>
      <c r="C5" s="32">
        <f>C3*C4</f>
        <v>64.5</v>
      </c>
      <c r="D5" s="32">
        <f>C3*D4</f>
        <v>51.6</v>
      </c>
      <c r="E5" s="32">
        <f>C3*E4</f>
        <v>38.699999999999996</v>
      </c>
    </row>
    <row r="6" spans="1:8" ht="30" x14ac:dyDescent="0.25">
      <c r="A6" s="184" t="s">
        <v>30</v>
      </c>
      <c r="B6" s="185" t="s">
        <v>187</v>
      </c>
      <c r="C6" s="186">
        <v>65</v>
      </c>
      <c r="D6" s="186">
        <v>50</v>
      </c>
      <c r="E6" s="186">
        <v>40</v>
      </c>
    </row>
    <row r="7" spans="1:8" ht="60" customHeight="1" x14ac:dyDescent="0.25">
      <c r="A7" s="129" t="s">
        <v>191</v>
      </c>
      <c r="B7" s="129"/>
      <c r="C7" s="129"/>
      <c r="D7" s="129"/>
      <c r="E7" s="129"/>
    </row>
    <row r="8" spans="1:8" x14ac:dyDescent="0.25">
      <c r="A8" s="30"/>
      <c r="B8" s="30"/>
      <c r="C8" s="30"/>
      <c r="D8" s="30"/>
      <c r="E8" s="30"/>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E7"/>
  <sheetViews>
    <sheetView zoomScaleNormal="100" workbookViewId="0"/>
  </sheetViews>
  <sheetFormatPr defaultRowHeight="15" x14ac:dyDescent="0.25"/>
  <cols>
    <col min="1" max="1" width="17.140625" bestFit="1" customWidth="1"/>
    <col min="2" max="2" width="96" customWidth="1"/>
    <col min="3" max="3" width="14.85546875" customWidth="1"/>
    <col min="4" max="4" width="22.85546875" bestFit="1" customWidth="1"/>
    <col min="5" max="5" width="21" bestFit="1" customWidth="1"/>
    <col min="6" max="6" width="25.42578125" customWidth="1"/>
    <col min="7" max="7" width="16.28515625" customWidth="1"/>
    <col min="8" max="8" width="11.140625" customWidth="1"/>
    <col min="9" max="9" width="18.28515625" bestFit="1" customWidth="1"/>
    <col min="10" max="10" width="12.42578125" bestFit="1" customWidth="1"/>
    <col min="11" max="11" width="18.5703125" bestFit="1" customWidth="1"/>
    <col min="12" max="12" width="16.5703125" bestFit="1" customWidth="1"/>
    <col min="13" max="13" width="12.5703125" bestFit="1" customWidth="1"/>
    <col min="14" max="18" width="13.28515625" customWidth="1"/>
    <col min="19" max="19" width="19.5703125" customWidth="1"/>
    <col min="20" max="20" width="10.42578125" customWidth="1"/>
    <col min="21" max="21" width="10.140625" bestFit="1" customWidth="1"/>
    <col min="22" max="22" width="12.140625" bestFit="1" customWidth="1"/>
    <col min="23" max="23" width="15.85546875" customWidth="1"/>
    <col min="25" max="25" width="18.85546875" customWidth="1"/>
    <col min="26" max="26" width="6.5703125" customWidth="1"/>
    <col min="27" max="27" width="10.140625" bestFit="1" customWidth="1"/>
    <col min="28" max="28" width="12.140625" bestFit="1" customWidth="1"/>
    <col min="31" max="31" width="15.42578125" bestFit="1" customWidth="1"/>
    <col min="32" max="32" width="7" bestFit="1" customWidth="1"/>
    <col min="33" max="33" width="11.7109375" customWidth="1"/>
  </cols>
  <sheetData>
    <row r="1" spans="1:5" ht="18.75" x14ac:dyDescent="0.25">
      <c r="A1" s="126" t="s">
        <v>192</v>
      </c>
      <c r="B1" s="127"/>
      <c r="C1" s="127"/>
      <c r="D1" s="127"/>
      <c r="E1" s="127"/>
    </row>
    <row r="2" spans="1:5" ht="18.75" x14ac:dyDescent="0.25">
      <c r="A2" s="85" t="s">
        <v>23</v>
      </c>
      <c r="B2" s="85" t="s">
        <v>24</v>
      </c>
      <c r="C2" s="85" t="s">
        <v>4</v>
      </c>
      <c r="D2" s="85" t="s">
        <v>3</v>
      </c>
      <c r="E2" s="85" t="s">
        <v>2</v>
      </c>
    </row>
    <row r="3" spans="1:5" x14ac:dyDescent="0.25">
      <c r="A3" s="86" t="s">
        <v>27</v>
      </c>
      <c r="B3" s="87" t="s">
        <v>188</v>
      </c>
      <c r="C3" s="128">
        <v>83</v>
      </c>
      <c r="D3" s="128"/>
      <c r="E3" s="128"/>
    </row>
    <row r="4" spans="1:5" x14ac:dyDescent="0.25">
      <c r="A4" s="86" t="s">
        <v>28</v>
      </c>
      <c r="B4" s="87" t="s">
        <v>100</v>
      </c>
      <c r="C4" s="31">
        <v>0.5</v>
      </c>
      <c r="D4" s="31">
        <v>0.4</v>
      </c>
      <c r="E4" s="31">
        <v>0.3</v>
      </c>
    </row>
    <row r="5" spans="1:5" ht="30" x14ac:dyDescent="0.25">
      <c r="A5" s="86" t="s">
        <v>29</v>
      </c>
      <c r="B5" s="87" t="s">
        <v>186</v>
      </c>
      <c r="C5" s="32">
        <f>C3*C4</f>
        <v>41.5</v>
      </c>
      <c r="D5" s="32">
        <f>C3*D4</f>
        <v>33.200000000000003</v>
      </c>
      <c r="E5" s="32">
        <f>C3*E4</f>
        <v>24.9</v>
      </c>
    </row>
    <row r="6" spans="1:5" ht="30" x14ac:dyDescent="0.25">
      <c r="A6" s="184" t="s">
        <v>30</v>
      </c>
      <c r="B6" s="185" t="s">
        <v>187</v>
      </c>
      <c r="C6" s="186">
        <v>40</v>
      </c>
      <c r="D6" s="186">
        <v>35</v>
      </c>
      <c r="E6" s="186">
        <v>25</v>
      </c>
    </row>
    <row r="7" spans="1:5" ht="48" customHeight="1" x14ac:dyDescent="0.25">
      <c r="A7" s="148" t="s">
        <v>195</v>
      </c>
      <c r="B7" s="129"/>
      <c r="C7" s="129"/>
      <c r="D7" s="129"/>
      <c r="E7" s="129"/>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7"/>
  <sheetViews>
    <sheetView zoomScaleNormal="100" workbookViewId="0"/>
  </sheetViews>
  <sheetFormatPr defaultRowHeight="15" x14ac:dyDescent="0.25"/>
  <cols>
    <col min="1" max="1" width="26.5703125" customWidth="1"/>
    <col min="2" max="2" width="105" customWidth="1"/>
    <col min="3" max="3" width="16.85546875" customWidth="1"/>
    <col min="4" max="4" width="24.28515625" customWidth="1"/>
    <col min="5" max="5" width="22.28515625" customWidth="1"/>
    <col min="6" max="6" width="36" customWidth="1"/>
    <col min="7" max="7" width="13.28515625" customWidth="1"/>
    <col min="8" max="9" width="21.140625" customWidth="1"/>
    <col min="10" max="16" width="13.28515625" customWidth="1"/>
    <col min="17" max="17" width="19.5703125" customWidth="1"/>
    <col min="18" max="18" width="10.42578125" customWidth="1"/>
    <col min="19" max="19" width="10.140625" bestFit="1" customWidth="1"/>
    <col min="20" max="20" width="12.140625" bestFit="1" customWidth="1"/>
    <col min="21" max="21" width="15.85546875" customWidth="1"/>
    <col min="23" max="23" width="18.85546875" customWidth="1"/>
    <col min="24" max="24" width="6.5703125" customWidth="1"/>
    <col min="25" max="25" width="10.140625" bestFit="1" customWidth="1"/>
    <col min="26" max="26" width="12.140625" bestFit="1" customWidth="1"/>
    <col min="29" max="29" width="15.42578125" bestFit="1" customWidth="1"/>
    <col min="30" max="30" width="7" bestFit="1" customWidth="1"/>
    <col min="31" max="31" width="11.7109375" customWidth="1"/>
  </cols>
  <sheetData>
    <row r="1" spans="1:5" ht="18.75" x14ac:dyDescent="0.25">
      <c r="A1" s="126" t="s">
        <v>193</v>
      </c>
      <c r="B1" s="127"/>
      <c r="C1" s="127"/>
      <c r="D1" s="127"/>
      <c r="E1" s="127"/>
    </row>
    <row r="2" spans="1:5" ht="18.75" x14ac:dyDescent="0.25">
      <c r="A2" s="85" t="s">
        <v>23</v>
      </c>
      <c r="B2" s="85" t="s">
        <v>24</v>
      </c>
      <c r="C2" s="85" t="s">
        <v>4</v>
      </c>
      <c r="D2" s="85" t="s">
        <v>3</v>
      </c>
      <c r="E2" s="85" t="s">
        <v>2</v>
      </c>
    </row>
    <row r="3" spans="1:5" x14ac:dyDescent="0.25">
      <c r="A3" s="86" t="s">
        <v>27</v>
      </c>
      <c r="B3" s="91" t="s">
        <v>188</v>
      </c>
      <c r="C3" s="128">
        <v>62</v>
      </c>
      <c r="D3" s="128"/>
      <c r="E3" s="128"/>
    </row>
    <row r="4" spans="1:5" x14ac:dyDescent="0.25">
      <c r="A4" s="86" t="s">
        <v>28</v>
      </c>
      <c r="B4" s="87" t="s">
        <v>100</v>
      </c>
      <c r="C4" s="31">
        <v>0.5</v>
      </c>
      <c r="D4" s="31">
        <v>0.4</v>
      </c>
      <c r="E4" s="31">
        <v>0.3</v>
      </c>
    </row>
    <row r="5" spans="1:5" ht="30" x14ac:dyDescent="0.25">
      <c r="A5" s="86" t="s">
        <v>29</v>
      </c>
      <c r="B5" s="87" t="s">
        <v>186</v>
      </c>
      <c r="C5" s="32">
        <f>C3*C4</f>
        <v>31</v>
      </c>
      <c r="D5" s="32">
        <f>C3*D4</f>
        <v>24.8</v>
      </c>
      <c r="E5" s="32">
        <f>C3*E4</f>
        <v>18.599999999999998</v>
      </c>
    </row>
    <row r="6" spans="1:5" x14ac:dyDescent="0.25">
      <c r="A6" s="184" t="s">
        <v>30</v>
      </c>
      <c r="B6" s="185" t="s">
        <v>187</v>
      </c>
      <c r="C6" s="186">
        <v>30</v>
      </c>
      <c r="D6" s="186">
        <v>25</v>
      </c>
      <c r="E6" s="186">
        <v>20</v>
      </c>
    </row>
    <row r="7" spans="1:5" ht="45" customHeight="1" x14ac:dyDescent="0.25">
      <c r="A7" s="148" t="s">
        <v>196</v>
      </c>
      <c r="B7" s="148"/>
      <c r="C7" s="148"/>
      <c r="D7" s="148"/>
      <c r="E7" s="148"/>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8"/>
  <dimension ref="A1:F23"/>
  <sheetViews>
    <sheetView zoomScaleNormal="100" workbookViewId="0"/>
  </sheetViews>
  <sheetFormatPr defaultRowHeight="15" x14ac:dyDescent="0.25"/>
  <cols>
    <col min="1" max="1" width="52" customWidth="1"/>
    <col min="2" max="4" width="30.5703125" customWidth="1"/>
    <col min="5" max="5" width="16.140625" bestFit="1" customWidth="1"/>
    <col min="6" max="6" width="26.28515625" customWidth="1"/>
    <col min="7" max="7" width="20.7109375" customWidth="1"/>
    <col min="8" max="8" width="24.7109375" customWidth="1"/>
    <col min="9" max="9" width="19.85546875" customWidth="1"/>
    <col min="10" max="10" width="26.28515625" customWidth="1"/>
    <col min="11" max="11" width="20.7109375" customWidth="1"/>
    <col min="12" max="12" width="24.7109375" customWidth="1"/>
    <col min="13" max="13" width="19.85546875" customWidth="1"/>
    <col min="14" max="14" width="45" customWidth="1"/>
    <col min="15" max="15" width="11.140625" customWidth="1"/>
  </cols>
  <sheetData>
    <row r="1" spans="1:4" ht="18" customHeight="1" x14ac:dyDescent="0.25">
      <c r="A1" s="132" t="s">
        <v>104</v>
      </c>
      <c r="B1" s="133"/>
      <c r="C1" s="133"/>
      <c r="D1" s="131"/>
    </row>
    <row r="2" spans="1:4" x14ac:dyDescent="0.25">
      <c r="A2" s="10" t="s">
        <v>24</v>
      </c>
      <c r="B2" s="10" t="s">
        <v>4</v>
      </c>
      <c r="C2" s="10" t="s">
        <v>3</v>
      </c>
      <c r="D2" s="10" t="s">
        <v>2</v>
      </c>
    </row>
    <row r="3" spans="1:4" ht="30" x14ac:dyDescent="0.25">
      <c r="A3" s="11" t="s">
        <v>197</v>
      </c>
      <c r="B3" s="56">
        <v>150</v>
      </c>
      <c r="C3" s="56">
        <v>130</v>
      </c>
      <c r="D3" s="56">
        <v>115</v>
      </c>
    </row>
    <row r="23" spans="6:6" x14ac:dyDescent="0.25">
      <c r="F23" t="s">
        <v>0</v>
      </c>
    </row>
  </sheetData>
  <pageMargins left="0.7" right="0.7" top="0.75" bottom="0.75" header="0.3" footer="0.3"/>
  <pageSetup orientation="portrait"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86a8e296-5f29-4af2-954b-0de0d1e1f8bc" ContentTypeId="0x0101" PreviousValue="false"/>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8BE8DCEAD381A4BB9937E948272ADE6" ma:contentTypeVersion="10" ma:contentTypeDescription="Create a new document." ma:contentTypeScope="" ma:versionID="4251cee26d8c0f90c1af9c3b9eb7a0b3">
  <xsd:schema xmlns:xsd="http://www.w3.org/2001/XMLSchema" xmlns:xs="http://www.w3.org/2001/XMLSchema" xmlns:p="http://schemas.microsoft.com/office/2006/metadata/properties" xmlns:ns2="a2c7f3f1-d9c3-4638-b6bb-e7c7bf0c6f87" targetNamespace="http://schemas.microsoft.com/office/2006/metadata/properties" ma:root="true" ma:fieldsID="124c6610bb919f0e6530cb13f392d027" ns2:_="">
    <xsd:import namespace="a2c7f3f1-d9c3-4638-b6bb-e7c7bf0c6f8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c7f3f1-d9c3-4638-b6bb-e7c7bf0c6f87"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3AF907-9582-4F95-BE86-52F3F80D08D1}">
  <ds:schemaRefs>
    <ds:schemaRef ds:uri="Microsoft.SharePoint.Taxonomy.ContentTypeSync"/>
  </ds:schemaRefs>
</ds:datastoreItem>
</file>

<file path=customXml/itemProps2.xml><?xml version="1.0" encoding="utf-8"?>
<ds:datastoreItem xmlns:ds="http://schemas.openxmlformats.org/officeDocument/2006/customXml" ds:itemID="{3E32D09F-0D85-43BF-B412-BF9C0005CD97}">
  <ds:schemaRefs>
    <ds:schemaRef ds:uri="http://schemas.microsoft.com/office/2006/documentManagement/types"/>
    <ds:schemaRef ds:uri="http://schemas.microsoft.com/office/2006/metadata/properties"/>
    <ds:schemaRef ds:uri="http://schemas.microsoft.com/office/infopath/2007/PartnerControls"/>
    <ds:schemaRef ds:uri="http://purl.org/dc/terms/"/>
    <ds:schemaRef ds:uri="http://schemas.openxmlformats.org/package/2006/metadata/core-properties"/>
    <ds:schemaRef ds:uri="http://purl.org/dc/elements/1.1/"/>
    <ds:schemaRef ds:uri="a2c7f3f1-d9c3-4638-b6bb-e7c7bf0c6f87"/>
    <ds:schemaRef ds:uri="http://www.w3.org/XML/1998/namespace"/>
    <ds:schemaRef ds:uri="http://purl.org/dc/dcmitype/"/>
  </ds:schemaRefs>
</ds:datastoreItem>
</file>

<file path=customXml/itemProps3.xml><?xml version="1.0" encoding="utf-8"?>
<ds:datastoreItem xmlns:ds="http://schemas.openxmlformats.org/officeDocument/2006/customXml" ds:itemID="{A4EA2633-5A45-4DE2-9411-090381932C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c7f3f1-d9c3-4638-b6bb-e7c7bf0c6f8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E573A65-3CA0-47B1-8D07-0FEEF91367B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MOOP Limits</vt:lpstr>
      <vt:lpstr>Inpatient Hospital Acute</vt:lpstr>
      <vt:lpstr>Inpatient Hospital Psychiatric</vt:lpstr>
      <vt:lpstr>Skilled Nursing Facility</vt:lpstr>
      <vt:lpstr>Cardiac Rehabilitation Services</vt:lpstr>
      <vt:lpstr>Intensive Cardiac Rehabilitatio</vt:lpstr>
      <vt:lpstr>Pulmonary Rehabilitation Servic</vt:lpstr>
      <vt:lpstr>SET for PAD</vt:lpstr>
      <vt:lpstr>Emergency Services</vt:lpstr>
      <vt:lpstr>Urgently Needed Services</vt:lpstr>
      <vt:lpstr>Partial Hospitalization</vt:lpstr>
      <vt:lpstr>Intensive Outpatient Services</vt:lpstr>
      <vt:lpstr>Home Health</vt:lpstr>
      <vt:lpstr>Primary Care Physician</vt:lpstr>
      <vt:lpstr>Chiropractic Care</vt:lpstr>
      <vt:lpstr>Occupational Therapy</vt:lpstr>
      <vt:lpstr>Physician Specialist</vt:lpstr>
      <vt:lpstr>Mental Health Specialty Service</vt:lpstr>
      <vt:lpstr>Psychiatric Services</vt:lpstr>
      <vt:lpstr>PT &amp; Speech-language Pathology</vt:lpstr>
      <vt:lpstr>Therapeutic Radiological Serv</vt:lpstr>
      <vt:lpstr>DME Diabetic Shoes or Inserts</vt:lpstr>
      <vt:lpstr>Dialysis Services</vt:lpstr>
      <vt:lpstr>Part B Drugs-Insulin</vt:lpstr>
      <vt:lpstr>Part B-Chemo Radiation Drugs</vt:lpstr>
      <vt:lpstr>Part B Drugs-Other</vt:lpstr>
    </vt:vector>
  </TitlesOfParts>
  <Manager/>
  <Company>CMS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Cali Diehl</dc:creator>
  <cp:keywords/>
  <dc:description/>
  <cp:lastModifiedBy>Dean, Robert (CMS/OACT)</cp:lastModifiedBy>
  <cp:revision/>
  <dcterms:created xsi:type="dcterms:W3CDTF">2019-05-15T12:59:00Z</dcterms:created>
  <dcterms:modified xsi:type="dcterms:W3CDTF">2025-04-16T13:46:45Z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0x010100C8BE8DCEAD381A4BB9937E948272ADE6</vt:lpwstr>
  </property>
</Properties>
</file>